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8_{F67BC757-C492-4CCE-92DA-E5A367D15627}" xr6:coauthVersionLast="47" xr6:coauthVersionMax="47" xr10:uidLastSave="{00000000-0000-0000-0000-000000000000}"/>
  <workbookProtection workbookAlgorithmName="SHA-512" workbookHashValue="PdfQx8940fAyk1j4l60wyNSbpEiTdKMTmW5st6eououfFKCGOFh7nGr0aIP2f6nwVpDi0aGHPDzyGAbEFOy98w==" workbookSaltValue="n/pNKAQEiWx4xlyW/46xaA==" workbookSpinCount="100000" lockStructure="1"/>
  <bookViews>
    <workbookView xWindow="-120" yWindow="-120" windowWidth="19440" windowHeight="15150" firstSheet="2" activeTab="2" xr2:uid="{00000000-000D-0000-FFFF-FFFF00000000}"/>
  </bookViews>
  <sheets>
    <sheet name="計算欄" sheetId="22" state="hidden" r:id="rId1"/>
    <sheet name="Sheet1" sheetId="25" state="hidden" r:id="rId2"/>
    <sheet name="入力欄" sheetId="26" r:id="rId3"/>
  </sheets>
  <definedNames>
    <definedName name="_xlnm.Print_Area" localSheetId="0">計算欄!$A$1:$AF$85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9" i="22" l="1"/>
  <c r="W39" i="22"/>
  <c r="Y7" i="22"/>
  <c r="Y5" i="22"/>
  <c r="Y6" i="22"/>
  <c r="Y4" i="22"/>
  <c r="Y2" i="22"/>
  <c r="X62" i="22" l="1"/>
  <c r="V62" i="22"/>
  <c r="U62" i="22"/>
  <c r="S62" i="22"/>
  <c r="R62" i="22"/>
  <c r="Q62" i="22"/>
  <c r="P62" i="22"/>
  <c r="O62" i="22"/>
  <c r="N62" i="22"/>
  <c r="M62" i="22"/>
  <c r="L62" i="22"/>
  <c r="K62" i="22"/>
  <c r="J62" i="22"/>
  <c r="I62" i="22"/>
  <c r="H62" i="22"/>
  <c r="G62" i="22"/>
  <c r="F62" i="22"/>
  <c r="E62" i="22"/>
  <c r="D62" i="22"/>
  <c r="C62" i="22"/>
  <c r="B62" i="22"/>
  <c r="F18" i="22" l="1"/>
  <c r="E18" i="22"/>
  <c r="C18" i="22" l="1"/>
  <c r="D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B18" i="22"/>
  <c r="V18" i="22" l="1"/>
  <c r="U18" i="22"/>
  <c r="V10" i="22"/>
  <c r="U10" i="22"/>
  <c r="C10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B10" i="22"/>
  <c r="H11" i="22" l="1"/>
  <c r="I11" i="22"/>
  <c r="J11" i="22"/>
  <c r="K11" i="22"/>
  <c r="L11" i="22"/>
  <c r="M11" i="22"/>
  <c r="N11" i="22"/>
  <c r="O11" i="22"/>
  <c r="P11" i="22"/>
  <c r="Q11" i="22"/>
  <c r="R11" i="22"/>
  <c r="H17" i="22"/>
  <c r="I17" i="22"/>
  <c r="J17" i="22"/>
  <c r="K17" i="22"/>
  <c r="L17" i="22"/>
  <c r="M17" i="22"/>
  <c r="N17" i="22"/>
  <c r="O17" i="22"/>
  <c r="P17" i="22"/>
  <c r="Q17" i="22"/>
  <c r="R17" i="22"/>
  <c r="H21" i="22"/>
  <c r="I21" i="22"/>
  <c r="J21" i="22"/>
  <c r="K21" i="22"/>
  <c r="L21" i="22"/>
  <c r="M21" i="22"/>
  <c r="N21" i="22"/>
  <c r="O21" i="22"/>
  <c r="P21" i="22"/>
  <c r="Q21" i="22"/>
  <c r="R21" i="22"/>
  <c r="H41" i="22"/>
  <c r="H42" i="22" s="1"/>
  <c r="I41" i="22"/>
  <c r="I42" i="22" s="1"/>
  <c r="J41" i="22"/>
  <c r="J42" i="22" s="1"/>
  <c r="J43" i="22" s="1"/>
  <c r="K41" i="22"/>
  <c r="K42" i="22" s="1"/>
  <c r="K43" i="22" s="1"/>
  <c r="L41" i="22"/>
  <c r="L42" i="22" s="1"/>
  <c r="M41" i="22"/>
  <c r="N41" i="22"/>
  <c r="N42" i="22" s="1"/>
  <c r="N43" i="22" s="1"/>
  <c r="O41" i="22"/>
  <c r="P41" i="22"/>
  <c r="P42" i="22" s="1"/>
  <c r="Q41" i="22"/>
  <c r="Q42" i="22" s="1"/>
  <c r="R41" i="22"/>
  <c r="R42" i="22" s="1"/>
  <c r="R43" i="22" s="1"/>
  <c r="H57" i="22"/>
  <c r="H58" i="22" s="1"/>
  <c r="H59" i="22" s="1"/>
  <c r="I57" i="22"/>
  <c r="I58" i="22" s="1"/>
  <c r="I59" i="22" s="1"/>
  <c r="J57" i="22"/>
  <c r="J61" i="22" s="1"/>
  <c r="K57" i="22"/>
  <c r="K61" i="22" s="1"/>
  <c r="L57" i="22"/>
  <c r="L61" i="22" s="1"/>
  <c r="M57" i="22"/>
  <c r="M58" i="22" s="1"/>
  <c r="M59" i="22" s="1"/>
  <c r="N57" i="22"/>
  <c r="N61" i="22" s="1"/>
  <c r="O57" i="22"/>
  <c r="O58" i="22" s="1"/>
  <c r="O59" i="22" s="1"/>
  <c r="P57" i="22"/>
  <c r="Q57" i="22"/>
  <c r="Q58" i="22" s="1"/>
  <c r="Q59" i="22" s="1"/>
  <c r="R57" i="22"/>
  <c r="R61" i="22" s="1"/>
  <c r="K58" i="22"/>
  <c r="K59" i="22" s="1"/>
  <c r="L58" i="22"/>
  <c r="L59" i="22" s="1"/>
  <c r="H65" i="22"/>
  <c r="I65" i="22"/>
  <c r="J65" i="22"/>
  <c r="K65" i="22"/>
  <c r="L65" i="22"/>
  <c r="M65" i="22"/>
  <c r="N65" i="22"/>
  <c r="O65" i="22"/>
  <c r="P65" i="22"/>
  <c r="Q65" i="22"/>
  <c r="R65" i="22"/>
  <c r="H67" i="22"/>
  <c r="H40" i="22" s="1"/>
  <c r="I67" i="22"/>
  <c r="I40" i="22" s="1"/>
  <c r="J67" i="22"/>
  <c r="J40" i="22" s="1"/>
  <c r="K67" i="22"/>
  <c r="K40" i="22" s="1"/>
  <c r="L67" i="22"/>
  <c r="L40" i="22" s="1"/>
  <c r="M67" i="22"/>
  <c r="M40" i="22" s="1"/>
  <c r="N67" i="22"/>
  <c r="N40" i="22" s="1"/>
  <c r="O67" i="22"/>
  <c r="O40" i="22" s="1"/>
  <c r="P67" i="22"/>
  <c r="P40" i="22" s="1"/>
  <c r="Q67" i="22"/>
  <c r="Q40" i="22" s="1"/>
  <c r="R67" i="22"/>
  <c r="R40" i="22" s="1"/>
  <c r="H68" i="22"/>
  <c r="I68" i="22"/>
  <c r="J68" i="22"/>
  <c r="K68" i="22"/>
  <c r="L68" i="22"/>
  <c r="M68" i="22"/>
  <c r="N68" i="22"/>
  <c r="O68" i="22"/>
  <c r="P68" i="22"/>
  <c r="Q68" i="22"/>
  <c r="R68" i="22"/>
  <c r="N44" i="22" l="1"/>
  <c r="J44" i="22"/>
  <c r="K44" i="22"/>
  <c r="P58" i="22"/>
  <c r="P59" i="22" s="1"/>
  <c r="R44" i="22"/>
  <c r="Q61" i="22"/>
  <c r="M61" i="22"/>
  <c r="I61" i="22"/>
  <c r="Q44" i="22"/>
  <c r="I44" i="22"/>
  <c r="P61" i="22"/>
  <c r="H61" i="22"/>
  <c r="O42" i="22"/>
  <c r="O43" i="22" s="1"/>
  <c r="P44" i="22"/>
  <c r="L44" i="22"/>
  <c r="H44" i="22"/>
  <c r="O61" i="22"/>
  <c r="H43" i="22"/>
  <c r="P43" i="22"/>
  <c r="Q43" i="22"/>
  <c r="I43" i="22"/>
  <c r="R58" i="22"/>
  <c r="R59" i="22" s="1"/>
  <c r="N58" i="22"/>
  <c r="N59" i="22" s="1"/>
  <c r="J58" i="22"/>
  <c r="J59" i="22" s="1"/>
  <c r="L43" i="22"/>
  <c r="M42" i="22"/>
  <c r="M44" i="22" s="1"/>
  <c r="F11" i="22"/>
  <c r="G11" i="22"/>
  <c r="S11" i="22"/>
  <c r="F17" i="22"/>
  <c r="G17" i="22"/>
  <c r="S17" i="22"/>
  <c r="F21" i="22"/>
  <c r="G21" i="22"/>
  <c r="S21" i="22"/>
  <c r="F41" i="22"/>
  <c r="G41" i="22"/>
  <c r="G42" i="22" s="1"/>
  <c r="S41" i="22"/>
  <c r="S42" i="22" s="1"/>
  <c r="S43" i="22" s="1"/>
  <c r="F57" i="22"/>
  <c r="F58" i="22" s="1"/>
  <c r="G57" i="22"/>
  <c r="G58" i="22" s="1"/>
  <c r="G59" i="22" s="1"/>
  <c r="S57" i="22"/>
  <c r="S58" i="22" s="1"/>
  <c r="S59" i="22" s="1"/>
  <c r="F65" i="22"/>
  <c r="G65" i="22"/>
  <c r="S65" i="22"/>
  <c r="F67" i="22"/>
  <c r="F40" i="22" s="1"/>
  <c r="G67" i="22"/>
  <c r="G40" i="22" s="1"/>
  <c r="S67" i="22"/>
  <c r="S40" i="22" s="1"/>
  <c r="F68" i="22"/>
  <c r="G68" i="22"/>
  <c r="S68" i="22"/>
  <c r="G43" i="22" l="1"/>
  <c r="O44" i="22"/>
  <c r="S61" i="22"/>
  <c r="M43" i="22"/>
  <c r="G44" i="22"/>
  <c r="G61" i="22"/>
  <c r="S44" i="22"/>
  <c r="F61" i="22"/>
  <c r="F42" i="22"/>
  <c r="F43" i="22" s="1"/>
  <c r="F59" i="22"/>
  <c r="F63" i="22" s="1"/>
  <c r="W10" i="22"/>
  <c r="F44" i="22" l="1"/>
  <c r="M19" i="22" l="1"/>
  <c r="Q19" i="22"/>
  <c r="R19" i="22"/>
  <c r="H63" i="22"/>
  <c r="J19" i="22"/>
  <c r="M63" i="22"/>
  <c r="K63" i="22"/>
  <c r="Q63" i="22"/>
  <c r="P19" i="22"/>
  <c r="N19" i="22"/>
  <c r="L63" i="22"/>
  <c r="K19" i="22"/>
  <c r="I19" i="22"/>
  <c r="O63" i="22"/>
  <c r="I63" i="22"/>
  <c r="O19" i="22"/>
  <c r="L19" i="22"/>
  <c r="H19" i="22"/>
  <c r="N63" i="22"/>
  <c r="P63" i="22"/>
  <c r="R63" i="22"/>
  <c r="J63" i="22"/>
  <c r="G19" i="22"/>
  <c r="S19" i="22"/>
  <c r="G63" i="22"/>
  <c r="S63" i="22"/>
  <c r="F19" i="22"/>
  <c r="B67" i="22"/>
  <c r="C67" i="22"/>
  <c r="D67" i="22"/>
  <c r="B27" i="22" l="1"/>
  <c r="E27" i="22"/>
  <c r="F27" i="22"/>
  <c r="R27" i="22"/>
  <c r="Q27" i="22"/>
  <c r="P27" i="22"/>
  <c r="O27" i="22"/>
  <c r="N27" i="22"/>
  <c r="M27" i="22"/>
  <c r="L27" i="22"/>
  <c r="K27" i="22"/>
  <c r="J27" i="22"/>
  <c r="I27" i="22"/>
  <c r="H27" i="22"/>
  <c r="G27" i="22"/>
  <c r="D27" i="22"/>
  <c r="C27" i="22"/>
  <c r="S27" i="22"/>
  <c r="V27" i="22"/>
  <c r="U27" i="22"/>
  <c r="I20" i="22"/>
  <c r="I22" i="22" s="1"/>
  <c r="I24" i="22" s="1"/>
  <c r="M20" i="22"/>
  <c r="M22" i="22" s="1"/>
  <c r="M24" i="22" s="1"/>
  <c r="Q20" i="22"/>
  <c r="Q22" i="22" s="1"/>
  <c r="Q24" i="22" s="1"/>
  <c r="Q28" i="22" s="1"/>
  <c r="J64" i="22"/>
  <c r="N64" i="22"/>
  <c r="R64" i="22"/>
  <c r="J20" i="22"/>
  <c r="J22" i="22" s="1"/>
  <c r="J24" i="22" s="1"/>
  <c r="N20" i="22"/>
  <c r="N22" i="22" s="1"/>
  <c r="N24" i="22" s="1"/>
  <c r="R20" i="22"/>
  <c r="R22" i="22" s="1"/>
  <c r="R24" i="22" s="1"/>
  <c r="K64" i="22"/>
  <c r="O64" i="22"/>
  <c r="O20" i="22"/>
  <c r="O22" i="22" s="1"/>
  <c r="O24" i="22" s="1"/>
  <c r="H64" i="22"/>
  <c r="L64" i="22"/>
  <c r="P64" i="22"/>
  <c r="P20" i="22"/>
  <c r="P22" i="22" s="1"/>
  <c r="P24" i="22" s="1"/>
  <c r="I64" i="22"/>
  <c r="Q64" i="22"/>
  <c r="K20" i="22"/>
  <c r="K22" i="22" s="1"/>
  <c r="K24" i="22" s="1"/>
  <c r="H20" i="22"/>
  <c r="H22" i="22" s="1"/>
  <c r="H24" i="22" s="1"/>
  <c r="L20" i="22"/>
  <c r="L22" i="22" s="1"/>
  <c r="L24" i="22" s="1"/>
  <c r="M64" i="22"/>
  <c r="J12" i="22"/>
  <c r="J13" i="22" s="1"/>
  <c r="O14" i="22"/>
  <c r="O15" i="22" s="1"/>
  <c r="O12" i="22"/>
  <c r="O13" i="22" s="1"/>
  <c r="M12" i="22"/>
  <c r="M13" i="22" s="1"/>
  <c r="L12" i="22"/>
  <c r="L13" i="22" s="1"/>
  <c r="Q14" i="22"/>
  <c r="Q15" i="22" s="1"/>
  <c r="Q12" i="22"/>
  <c r="Q13" i="22" s="1"/>
  <c r="P12" i="22"/>
  <c r="P13" i="22" s="1"/>
  <c r="R12" i="22"/>
  <c r="R13" i="22" s="1"/>
  <c r="L14" i="22"/>
  <c r="L15" i="22" s="1"/>
  <c r="K14" i="22"/>
  <c r="K15" i="22" s="1"/>
  <c r="K12" i="22"/>
  <c r="K13" i="22" s="1"/>
  <c r="P14" i="22"/>
  <c r="P15" i="22" s="1"/>
  <c r="N14" i="22"/>
  <c r="N15" i="22" s="1"/>
  <c r="H12" i="22"/>
  <c r="H13" i="22" s="1"/>
  <c r="M14" i="22"/>
  <c r="M15" i="22" s="1"/>
  <c r="R14" i="22"/>
  <c r="R15" i="22" s="1"/>
  <c r="N12" i="22"/>
  <c r="N13" i="22" s="1"/>
  <c r="H14" i="22"/>
  <c r="H15" i="22" s="1"/>
  <c r="J14" i="22"/>
  <c r="J15" i="22" s="1"/>
  <c r="I14" i="22"/>
  <c r="I15" i="22" s="1"/>
  <c r="I12" i="22"/>
  <c r="I13" i="22" s="1"/>
  <c r="F12" i="22"/>
  <c r="F13" i="22" s="1"/>
  <c r="S14" i="22"/>
  <c r="S15" i="22" s="1"/>
  <c r="G12" i="22"/>
  <c r="G13" i="22" s="1"/>
  <c r="S12" i="22"/>
  <c r="S13" i="22" s="1"/>
  <c r="G14" i="22"/>
  <c r="G15" i="22" s="1"/>
  <c r="F14" i="22"/>
  <c r="F15" i="22" s="1"/>
  <c r="S20" i="22"/>
  <c r="S22" i="22" s="1"/>
  <c r="S24" i="22" s="1"/>
  <c r="F64" i="22"/>
  <c r="F20" i="22"/>
  <c r="G20" i="22"/>
  <c r="G22" i="22" s="1"/>
  <c r="G24" i="22" s="1"/>
  <c r="G64" i="22"/>
  <c r="S64" i="22"/>
  <c r="X41" i="22"/>
  <c r="X65" i="22"/>
  <c r="W65" i="22"/>
  <c r="V65" i="22"/>
  <c r="U65" i="22"/>
  <c r="E65" i="22"/>
  <c r="D65" i="22"/>
  <c r="C65" i="22"/>
  <c r="B65" i="22"/>
  <c r="X64" i="22"/>
  <c r="W64" i="22"/>
  <c r="V64" i="22"/>
  <c r="U64" i="22"/>
  <c r="E64" i="22"/>
  <c r="D64" i="22"/>
  <c r="C64" i="22"/>
  <c r="B64" i="22"/>
  <c r="X57" i="22"/>
  <c r="W57" i="22"/>
  <c r="W58" i="22" s="1"/>
  <c r="W59" i="22" s="1"/>
  <c r="V57" i="22"/>
  <c r="V61" i="22" s="1"/>
  <c r="U57" i="22"/>
  <c r="E57" i="22"/>
  <c r="D57" i="22"/>
  <c r="C57" i="22"/>
  <c r="C58" i="22" s="1"/>
  <c r="C59" i="22" s="1"/>
  <c r="C63" i="22" s="1"/>
  <c r="B57" i="22"/>
  <c r="B61" i="22" s="1"/>
  <c r="X40" i="22"/>
  <c r="D40" i="22"/>
  <c r="C40" i="22"/>
  <c r="B40" i="22"/>
  <c r="X21" i="22"/>
  <c r="W21" i="22"/>
  <c r="V21" i="22"/>
  <c r="U21" i="22"/>
  <c r="E21" i="22"/>
  <c r="D21" i="22"/>
  <c r="C21" i="22"/>
  <c r="B21" i="22"/>
  <c r="X20" i="22"/>
  <c r="W20" i="22"/>
  <c r="V20" i="22"/>
  <c r="U20" i="22"/>
  <c r="E20" i="22"/>
  <c r="D20" i="22"/>
  <c r="C20" i="22"/>
  <c r="B20" i="22"/>
  <c r="X18" i="22"/>
  <c r="X27" i="22" s="1"/>
  <c r="X17" i="22"/>
  <c r="W17" i="22"/>
  <c r="V17" i="22"/>
  <c r="U17" i="22"/>
  <c r="E17" i="22"/>
  <c r="D17" i="22"/>
  <c r="C17" i="22"/>
  <c r="B17" i="22"/>
  <c r="X14" i="22"/>
  <c r="W14" i="22"/>
  <c r="V14" i="22"/>
  <c r="U14" i="22"/>
  <c r="E14" i="22"/>
  <c r="D14" i="22"/>
  <c r="C14" i="22"/>
  <c r="B14" i="22"/>
  <c r="X12" i="22"/>
  <c r="W12" i="22"/>
  <c r="V12" i="22"/>
  <c r="U12" i="22"/>
  <c r="E12" i="22"/>
  <c r="D12" i="22"/>
  <c r="C12" i="22"/>
  <c r="B12" i="22"/>
  <c r="X10" i="22"/>
  <c r="X11" i="22" s="1"/>
  <c r="W11" i="22"/>
  <c r="V11" i="22"/>
  <c r="V41" i="22" s="1"/>
  <c r="U11" i="22"/>
  <c r="U41" i="22" s="1"/>
  <c r="E11" i="22"/>
  <c r="D11" i="22"/>
  <c r="C11" i="22"/>
  <c r="B11" i="22"/>
  <c r="W7" i="22"/>
  <c r="AI6" i="22"/>
  <c r="AH6" i="22"/>
  <c r="W6" i="22"/>
  <c r="W5" i="22"/>
  <c r="AI4" i="22"/>
  <c r="AH4" i="22"/>
  <c r="W4" i="22"/>
  <c r="AH2" i="22"/>
  <c r="O29" i="22" l="1"/>
  <c r="W68" i="22"/>
  <c r="W62" i="22"/>
  <c r="W41" i="22"/>
  <c r="W18" i="22"/>
  <c r="I28" i="22"/>
  <c r="M28" i="22"/>
  <c r="P29" i="22"/>
  <c r="K25" i="22"/>
  <c r="K28" i="22"/>
  <c r="K26" i="22"/>
  <c r="K29" i="22"/>
  <c r="Q25" i="22"/>
  <c r="Q30" i="22" s="1"/>
  <c r="Q29" i="22"/>
  <c r="Q26" i="22"/>
  <c r="L26" i="22"/>
  <c r="L25" i="22"/>
  <c r="L29" i="22"/>
  <c r="L28" i="22"/>
  <c r="H29" i="22"/>
  <c r="H28" i="22"/>
  <c r="H26" i="22"/>
  <c r="H25" i="22"/>
  <c r="P26" i="22"/>
  <c r="P25" i="22"/>
  <c r="P28" i="22"/>
  <c r="O25" i="22"/>
  <c r="O26" i="22"/>
  <c r="O31" i="22" s="1"/>
  <c r="O28" i="22"/>
  <c r="N25" i="22"/>
  <c r="N26" i="22"/>
  <c r="N29" i="22"/>
  <c r="N28" i="22"/>
  <c r="J25" i="22"/>
  <c r="J26" i="22"/>
  <c r="J28" i="22"/>
  <c r="J29" i="22"/>
  <c r="M25" i="22"/>
  <c r="M29" i="22"/>
  <c r="M26" i="22"/>
  <c r="R25" i="22"/>
  <c r="R26" i="22"/>
  <c r="R28" i="22"/>
  <c r="R29" i="22"/>
  <c r="I26" i="22"/>
  <c r="I25" i="22"/>
  <c r="I29" i="22"/>
  <c r="S26" i="22"/>
  <c r="S28" i="22"/>
  <c r="S29" i="22"/>
  <c r="S25" i="22"/>
  <c r="G25" i="22"/>
  <c r="G26" i="22"/>
  <c r="G29" i="22"/>
  <c r="G28" i="22"/>
  <c r="E41" i="22"/>
  <c r="E19" i="22"/>
  <c r="E22" i="22" s="1"/>
  <c r="E24" i="22" s="1"/>
  <c r="E28" i="22" s="1"/>
  <c r="X43" i="22"/>
  <c r="B58" i="22"/>
  <c r="B59" i="22" s="1"/>
  <c r="B63" i="22" s="1"/>
  <c r="B66" i="22" s="1"/>
  <c r="B69" i="22" s="1"/>
  <c r="B46" i="22" s="1"/>
  <c r="C61" i="22"/>
  <c r="C66" i="22" s="1"/>
  <c r="C69" i="22" s="1"/>
  <c r="C46" i="22" s="1"/>
  <c r="W63" i="22"/>
  <c r="W61" i="22"/>
  <c r="W13" i="22"/>
  <c r="V58" i="22"/>
  <c r="V59" i="22" s="1"/>
  <c r="V68" i="22" s="1"/>
  <c r="C15" i="22"/>
  <c r="D19" i="22"/>
  <c r="D22" i="22" s="1"/>
  <c r="D24" i="22" s="1"/>
  <c r="D15" i="22"/>
  <c r="D13" i="22"/>
  <c r="D33" i="22" s="1"/>
  <c r="X19" i="22"/>
  <c r="X22" i="22" s="1"/>
  <c r="X24" i="22" s="1"/>
  <c r="X15" i="22"/>
  <c r="X13" i="22"/>
  <c r="E15" i="22"/>
  <c r="E13" i="22"/>
  <c r="U15" i="22"/>
  <c r="U13" i="22"/>
  <c r="U19" i="22"/>
  <c r="U22" i="22" s="1"/>
  <c r="U24" i="22" s="1"/>
  <c r="B13" i="22"/>
  <c r="D58" i="22"/>
  <c r="D59" i="22" s="1"/>
  <c r="X58" i="22"/>
  <c r="X59" i="22" s="1"/>
  <c r="D61" i="22"/>
  <c r="W19" i="22"/>
  <c r="W22" i="22" s="1"/>
  <c r="W24" i="22" s="1"/>
  <c r="V19" i="22"/>
  <c r="V22" i="22" s="1"/>
  <c r="V24" i="22" s="1"/>
  <c r="E61" i="22"/>
  <c r="E58" i="22"/>
  <c r="E59" i="22" s="1"/>
  <c r="E68" i="22" s="1"/>
  <c r="U61" i="22"/>
  <c r="C13" i="22"/>
  <c r="W15" i="22"/>
  <c r="V13" i="22"/>
  <c r="C19" i="22"/>
  <c r="C22" i="22" s="1"/>
  <c r="C24" i="22" s="1"/>
  <c r="C28" i="22" s="1"/>
  <c r="B15" i="22"/>
  <c r="V15" i="22"/>
  <c r="B19" i="22"/>
  <c r="B22" i="22" s="1"/>
  <c r="B24" i="22" s="1"/>
  <c r="B28" i="22" s="1"/>
  <c r="U58" i="22"/>
  <c r="U59" i="22" s="1"/>
  <c r="U68" i="22" s="1"/>
  <c r="X61" i="22"/>
  <c r="W27" i="22" l="1"/>
  <c r="W29" i="22" s="1"/>
  <c r="I30" i="22"/>
  <c r="M30" i="22"/>
  <c r="P31" i="22"/>
  <c r="R30" i="22"/>
  <c r="K31" i="22"/>
  <c r="I31" i="22"/>
  <c r="J30" i="22"/>
  <c r="H31" i="22"/>
  <c r="L30" i="22"/>
  <c r="M31" i="22"/>
  <c r="M32" i="22" s="1"/>
  <c r="L31" i="22"/>
  <c r="Q31" i="22"/>
  <c r="Q32" i="22" s="1"/>
  <c r="O30" i="22"/>
  <c r="O32" i="22" s="1"/>
  <c r="O45" i="22" s="1"/>
  <c r="H30" i="22"/>
  <c r="N30" i="22"/>
  <c r="P30" i="22"/>
  <c r="K30" i="22"/>
  <c r="R31" i="22"/>
  <c r="J31" i="22"/>
  <c r="N31" i="22"/>
  <c r="G30" i="22"/>
  <c r="S31" i="22"/>
  <c r="S30" i="22"/>
  <c r="G31" i="22"/>
  <c r="B29" i="22"/>
  <c r="W66" i="22"/>
  <c r="W69" i="22" s="1"/>
  <c r="W71" i="22" s="1"/>
  <c r="V63" i="22"/>
  <c r="V66" i="22" s="1"/>
  <c r="V69" i="22" s="1"/>
  <c r="V71" i="22" s="1"/>
  <c r="V29" i="22"/>
  <c r="B71" i="22"/>
  <c r="B73" i="22" s="1"/>
  <c r="B76" i="22" s="1"/>
  <c r="V26" i="22"/>
  <c r="V25" i="22"/>
  <c r="E63" i="22"/>
  <c r="X28" i="22"/>
  <c r="X29" i="22"/>
  <c r="X25" i="22"/>
  <c r="X26" i="22"/>
  <c r="C71" i="22"/>
  <c r="C73" i="22" s="1"/>
  <c r="C76" i="22" s="1"/>
  <c r="B26" i="22"/>
  <c r="B25" i="22"/>
  <c r="C25" i="22"/>
  <c r="C29" i="22"/>
  <c r="C26" i="22"/>
  <c r="D63" i="22"/>
  <c r="D66" i="22" s="1"/>
  <c r="D69" i="22" s="1"/>
  <c r="D46" i="22" s="1"/>
  <c r="D29" i="22"/>
  <c r="E25" i="22"/>
  <c r="E26" i="22"/>
  <c r="D25" i="22"/>
  <c r="D26" i="22"/>
  <c r="U63" i="22"/>
  <c r="U66" i="22" s="1"/>
  <c r="U69" i="22" s="1"/>
  <c r="U71" i="22" s="1"/>
  <c r="W28" i="22"/>
  <c r="W25" i="22"/>
  <c r="W26" i="22"/>
  <c r="U25" i="22"/>
  <c r="U26" i="22"/>
  <c r="D34" i="22"/>
  <c r="D35" i="22"/>
  <c r="X63" i="22"/>
  <c r="X66" i="22" s="1"/>
  <c r="X69" i="22" s="1"/>
  <c r="X46" i="22" s="1"/>
  <c r="U28" i="22"/>
  <c r="I32" i="22" l="1"/>
  <c r="I45" i="22" s="1"/>
  <c r="O33" i="22"/>
  <c r="O34" i="22" s="1"/>
  <c r="O36" i="22" s="1"/>
  <c r="P32" i="22"/>
  <c r="R32" i="22"/>
  <c r="R33" i="22" s="1"/>
  <c r="M45" i="22"/>
  <c r="M33" i="22"/>
  <c r="M34" i="22" s="1"/>
  <c r="M36" i="22" s="1"/>
  <c r="H32" i="22"/>
  <c r="J32" i="22"/>
  <c r="J45" i="22" s="1"/>
  <c r="K32" i="22"/>
  <c r="K45" i="22" s="1"/>
  <c r="L32" i="22"/>
  <c r="G32" i="22"/>
  <c r="G33" i="22" s="1"/>
  <c r="N32" i="22"/>
  <c r="N45" i="22" s="1"/>
  <c r="Q45" i="22"/>
  <c r="Q33" i="22"/>
  <c r="S32" i="22"/>
  <c r="U70" i="22"/>
  <c r="U74" i="22" s="1"/>
  <c r="U67" i="22"/>
  <c r="U40" i="22" s="1"/>
  <c r="U73" i="22"/>
  <c r="U76" i="22" s="1"/>
  <c r="U46" i="22"/>
  <c r="E67" i="22"/>
  <c r="E40" i="22" s="1"/>
  <c r="W73" i="22"/>
  <c r="W76" i="22" s="1"/>
  <c r="W46" i="22"/>
  <c r="W70" i="22"/>
  <c r="W74" i="22" s="1"/>
  <c r="W67" i="22"/>
  <c r="W40" i="22" s="1"/>
  <c r="V73" i="22"/>
  <c r="V76" i="22" s="1"/>
  <c r="V46" i="22"/>
  <c r="V70" i="22"/>
  <c r="V67" i="22"/>
  <c r="B30" i="22"/>
  <c r="V28" i="22"/>
  <c r="V30" i="22" s="1"/>
  <c r="E29" i="22"/>
  <c r="E31" i="22" s="1"/>
  <c r="U29" i="22"/>
  <c r="U31" i="22" s="1"/>
  <c r="C31" i="22"/>
  <c r="X30" i="22"/>
  <c r="D28" i="22"/>
  <c r="D30" i="22" s="1"/>
  <c r="W31" i="22"/>
  <c r="X31" i="22"/>
  <c r="D71" i="22"/>
  <c r="D73" i="22" s="1"/>
  <c r="D76" i="22" s="1"/>
  <c r="D31" i="22"/>
  <c r="D37" i="22" s="1"/>
  <c r="D49" i="22" s="1"/>
  <c r="D53" i="22" s="1"/>
  <c r="C30" i="22"/>
  <c r="V31" i="22"/>
  <c r="X71" i="22"/>
  <c r="X73" i="22" s="1"/>
  <c r="X76" i="22" s="1"/>
  <c r="U30" i="22"/>
  <c r="W30" i="22"/>
  <c r="E30" i="22"/>
  <c r="B31" i="22"/>
  <c r="P45" i="22" l="1"/>
  <c r="F22" i="22"/>
  <c r="F24" i="22" s="1"/>
  <c r="F28" i="22" s="1"/>
  <c r="I33" i="22"/>
  <c r="I35" i="22" s="1"/>
  <c r="I37" i="22" s="1"/>
  <c r="I49" i="22" s="1"/>
  <c r="I53" i="22" s="1"/>
  <c r="J33" i="22"/>
  <c r="J35" i="22" s="1"/>
  <c r="J37" i="22" s="1"/>
  <c r="J49" i="22" s="1"/>
  <c r="J53" i="22" s="1"/>
  <c r="K33" i="22"/>
  <c r="K35" i="22" s="1"/>
  <c r="K37" i="22" s="1"/>
  <c r="K49" i="22" s="1"/>
  <c r="K53" i="22" s="1"/>
  <c r="R45" i="22"/>
  <c r="P33" i="22"/>
  <c r="P35" i="22" s="1"/>
  <c r="P37" i="22" s="1"/>
  <c r="P49" i="22" s="1"/>
  <c r="P53" i="22" s="1"/>
  <c r="O35" i="22"/>
  <c r="O37" i="22" s="1"/>
  <c r="O49" i="22" s="1"/>
  <c r="O53" i="22" s="1"/>
  <c r="G45" i="22"/>
  <c r="M35" i="22"/>
  <c r="M37" i="22" s="1"/>
  <c r="M49" i="22" s="1"/>
  <c r="M53" i="22" s="1"/>
  <c r="L45" i="22"/>
  <c r="L33" i="22"/>
  <c r="N33" i="22"/>
  <c r="N35" i="22" s="1"/>
  <c r="N37" i="22" s="1"/>
  <c r="N49" i="22" s="1"/>
  <c r="N53" i="22" s="1"/>
  <c r="H45" i="22"/>
  <c r="H33" i="22"/>
  <c r="O48" i="22"/>
  <c r="O52" i="22" s="1"/>
  <c r="Q35" i="22"/>
  <c r="Q37" i="22" s="1"/>
  <c r="Q49" i="22" s="1"/>
  <c r="Q53" i="22" s="1"/>
  <c r="Q34" i="22"/>
  <c r="Q36" i="22" s="1"/>
  <c r="R34" i="22"/>
  <c r="R36" i="22" s="1"/>
  <c r="R35" i="22"/>
  <c r="R37" i="22" s="1"/>
  <c r="R49" i="22" s="1"/>
  <c r="R53" i="22" s="1"/>
  <c r="M48" i="22"/>
  <c r="M52" i="22" s="1"/>
  <c r="G34" i="22"/>
  <c r="G36" i="22" s="1"/>
  <c r="G35" i="22"/>
  <c r="G37" i="22" s="1"/>
  <c r="G49" i="22" s="1"/>
  <c r="G53" i="22" s="1"/>
  <c r="S45" i="22"/>
  <c r="S33" i="22"/>
  <c r="V74" i="22"/>
  <c r="V77" i="22" s="1"/>
  <c r="V40" i="22"/>
  <c r="W77" i="22"/>
  <c r="U77" i="22"/>
  <c r="X32" i="22"/>
  <c r="V32" i="22"/>
  <c r="U32" i="22"/>
  <c r="U45" i="22" s="1"/>
  <c r="U47" i="22" s="1"/>
  <c r="D36" i="22"/>
  <c r="D32" i="22"/>
  <c r="D45" i="22" s="1"/>
  <c r="D47" i="22" s="1"/>
  <c r="E32" i="22"/>
  <c r="E45" i="22" s="1"/>
  <c r="B32" i="22"/>
  <c r="B45" i="22" s="1"/>
  <c r="B47" i="22" s="1"/>
  <c r="C32" i="22"/>
  <c r="C45" i="22" s="1"/>
  <c r="C47" i="22" s="1"/>
  <c r="W32" i="22"/>
  <c r="W45" i="22" s="1"/>
  <c r="W47" i="22" s="1"/>
  <c r="F26" i="22" l="1"/>
  <c r="F29" i="22"/>
  <c r="F25" i="22"/>
  <c r="J34" i="22"/>
  <c r="J36" i="22" s="1"/>
  <c r="J48" i="22" s="1"/>
  <c r="J52" i="22" s="1"/>
  <c r="J54" i="22" s="1"/>
  <c r="K34" i="22"/>
  <c r="K36" i="22" s="1"/>
  <c r="K48" i="22" s="1"/>
  <c r="K52" i="22" s="1"/>
  <c r="K54" i="22" s="1"/>
  <c r="I34" i="22"/>
  <c r="I36" i="22" s="1"/>
  <c r="I38" i="22" s="1"/>
  <c r="M54" i="22"/>
  <c r="O38" i="22"/>
  <c r="O55" i="22" s="1"/>
  <c r="O66" i="22" s="1"/>
  <c r="O69" i="22" s="1"/>
  <c r="P34" i="22"/>
  <c r="P36" i="22" s="1"/>
  <c r="P48" i="22" s="1"/>
  <c r="P52" i="22" s="1"/>
  <c r="P54" i="22" s="1"/>
  <c r="O54" i="22"/>
  <c r="N34" i="22"/>
  <c r="N36" i="22" s="1"/>
  <c r="N48" i="22" s="1"/>
  <c r="N52" i="22" s="1"/>
  <c r="N54" i="22" s="1"/>
  <c r="M38" i="22"/>
  <c r="L34" i="22"/>
  <c r="L36" i="22" s="1"/>
  <c r="L35" i="22"/>
  <c r="L37" i="22" s="1"/>
  <c r="L49" i="22" s="1"/>
  <c r="L53" i="22" s="1"/>
  <c r="H34" i="22"/>
  <c r="H36" i="22" s="1"/>
  <c r="H35" i="22"/>
  <c r="H37" i="22" s="1"/>
  <c r="H49" i="22" s="1"/>
  <c r="H53" i="22" s="1"/>
  <c r="Q48" i="22"/>
  <c r="Q52" i="22" s="1"/>
  <c r="Q54" i="22" s="1"/>
  <c r="Q38" i="22"/>
  <c r="R48" i="22"/>
  <c r="R52" i="22" s="1"/>
  <c r="R54" i="22" s="1"/>
  <c r="R38" i="22"/>
  <c r="S34" i="22"/>
  <c r="S36" i="22" s="1"/>
  <c r="S35" i="22"/>
  <c r="S37" i="22" s="1"/>
  <c r="S49" i="22" s="1"/>
  <c r="S53" i="22" s="1"/>
  <c r="G48" i="22"/>
  <c r="G52" i="22" s="1"/>
  <c r="G54" i="22" s="1"/>
  <c r="G38" i="22"/>
  <c r="X45" i="22"/>
  <c r="X47" i="22" s="1"/>
  <c r="X33" i="22"/>
  <c r="D48" i="22"/>
  <c r="D52" i="22" s="1"/>
  <c r="D54" i="22" s="1"/>
  <c r="D80" i="22" s="1"/>
  <c r="D82" i="22" s="1"/>
  <c r="D83" i="22" s="1"/>
  <c r="V33" i="22"/>
  <c r="V35" i="22" s="1"/>
  <c r="V37" i="22" s="1"/>
  <c r="V45" i="22"/>
  <c r="V47" i="22" s="1"/>
  <c r="D38" i="22"/>
  <c r="D79" i="22" s="1"/>
  <c r="E33" i="22"/>
  <c r="W33" i="22"/>
  <c r="B33" i="22"/>
  <c r="U33" i="22"/>
  <c r="C33" i="22"/>
  <c r="J38" i="22" l="1"/>
  <c r="O46" i="22"/>
  <c r="O47" i="22" s="1"/>
  <c r="O71" i="22"/>
  <c r="O73" i="22" s="1"/>
  <c r="O76" i="22" s="1"/>
  <c r="O79" i="22" s="1"/>
  <c r="O70" i="22"/>
  <c r="O74" i="22" s="1"/>
  <c r="O77" i="22" s="1"/>
  <c r="F30" i="22"/>
  <c r="F31" i="22"/>
  <c r="K38" i="22"/>
  <c r="K55" i="22" s="1"/>
  <c r="K66" i="22" s="1"/>
  <c r="K69" i="22" s="1"/>
  <c r="I48" i="22"/>
  <c r="I52" i="22" s="1"/>
  <c r="I54" i="22" s="1"/>
  <c r="P38" i="22"/>
  <c r="P55" i="22" s="1"/>
  <c r="P66" i="22" s="1"/>
  <c r="P69" i="22" s="1"/>
  <c r="N38" i="22"/>
  <c r="N55" i="22" s="1"/>
  <c r="N66" i="22" s="1"/>
  <c r="N69" i="22" s="1"/>
  <c r="M55" i="22"/>
  <c r="M66" i="22" s="1"/>
  <c r="M69" i="22" s="1"/>
  <c r="H38" i="22"/>
  <c r="H48" i="22"/>
  <c r="H52" i="22" s="1"/>
  <c r="H54" i="22" s="1"/>
  <c r="L38" i="22"/>
  <c r="L48" i="22"/>
  <c r="L52" i="22" s="1"/>
  <c r="L54" i="22" s="1"/>
  <c r="R55" i="22"/>
  <c r="R66" i="22" s="1"/>
  <c r="R69" i="22" s="1"/>
  <c r="J55" i="22"/>
  <c r="J66" i="22" s="1"/>
  <c r="J69" i="22" s="1"/>
  <c r="Q55" i="22"/>
  <c r="Q66" i="22" s="1"/>
  <c r="Q69" i="22" s="1"/>
  <c r="I55" i="22"/>
  <c r="I66" i="22" s="1"/>
  <c r="I69" i="22" s="1"/>
  <c r="G55" i="22"/>
  <c r="G66" i="22" s="1"/>
  <c r="G69" i="22" s="1"/>
  <c r="S38" i="22"/>
  <c r="S55" i="22" s="1"/>
  <c r="S48" i="22"/>
  <c r="S52" i="22" s="1"/>
  <c r="S54" i="22" s="1"/>
  <c r="X34" i="22"/>
  <c r="X36" i="22" s="1"/>
  <c r="X35" i="22"/>
  <c r="X37" i="22" s="1"/>
  <c r="X49" i="22" s="1"/>
  <c r="X53" i="22" s="1"/>
  <c r="V34" i="22"/>
  <c r="V36" i="22" s="1"/>
  <c r="V90" i="22"/>
  <c r="V86" i="22"/>
  <c r="V88" i="22" s="1"/>
  <c r="C35" i="22"/>
  <c r="C37" i="22" s="1"/>
  <c r="C49" i="22" s="1"/>
  <c r="C53" i="22" s="1"/>
  <c r="C34" i="22"/>
  <c r="C36" i="22" s="1"/>
  <c r="C48" i="22" s="1"/>
  <c r="C52" i="22" s="1"/>
  <c r="U34" i="22"/>
  <c r="U36" i="22" s="1"/>
  <c r="U35" i="22"/>
  <c r="U37" i="22" s="1"/>
  <c r="W35" i="22"/>
  <c r="W37" i="22" s="1"/>
  <c r="W34" i="22"/>
  <c r="W36" i="22" s="1"/>
  <c r="U90" i="22"/>
  <c r="U86" i="22"/>
  <c r="U88" i="22" s="1"/>
  <c r="W86" i="22"/>
  <c r="W88" i="22" s="1"/>
  <c r="W90" i="22"/>
  <c r="B35" i="22"/>
  <c r="B37" i="22" s="1"/>
  <c r="B49" i="22" s="1"/>
  <c r="B53" i="22" s="1"/>
  <c r="B34" i="22"/>
  <c r="B36" i="22" s="1"/>
  <c r="B48" i="22" s="1"/>
  <c r="B52" i="22" s="1"/>
  <c r="E34" i="22"/>
  <c r="E36" i="22" s="1"/>
  <c r="E35" i="22"/>
  <c r="E37" i="22" s="1"/>
  <c r="O80" i="22" l="1"/>
  <c r="F32" i="22"/>
  <c r="F45" i="22" s="1"/>
  <c r="Q46" i="22"/>
  <c r="Q47" i="22" s="1"/>
  <c r="Q70" i="22"/>
  <c r="Q74" i="22" s="1"/>
  <c r="Q77" i="22" s="1"/>
  <c r="Q71" i="22"/>
  <c r="Q73" i="22" s="1"/>
  <c r="Q76" i="22" s="1"/>
  <c r="I71" i="22"/>
  <c r="I73" i="22" s="1"/>
  <c r="I76" i="22" s="1"/>
  <c r="I79" i="22" s="1"/>
  <c r="I46" i="22"/>
  <c r="I47" i="22" s="1"/>
  <c r="I70" i="22"/>
  <c r="I74" i="22" s="1"/>
  <c r="I77" i="22" s="1"/>
  <c r="J70" i="22"/>
  <c r="J74" i="22" s="1"/>
  <c r="J77" i="22" s="1"/>
  <c r="J46" i="22"/>
  <c r="J47" i="22" s="1"/>
  <c r="J71" i="22"/>
  <c r="J73" i="22" s="1"/>
  <c r="J76" i="22" s="1"/>
  <c r="N46" i="22"/>
  <c r="N47" i="22" s="1"/>
  <c r="N70" i="22"/>
  <c r="N74" i="22" s="1"/>
  <c r="N77" i="22" s="1"/>
  <c r="N71" i="22"/>
  <c r="N73" i="22" s="1"/>
  <c r="N76" i="22" s="1"/>
  <c r="N80" i="22" s="1"/>
  <c r="K71" i="22"/>
  <c r="K73" i="22" s="1"/>
  <c r="K76" i="22" s="1"/>
  <c r="K80" i="22" s="1"/>
  <c r="K70" i="22"/>
  <c r="K74" i="22" s="1"/>
  <c r="K77" i="22" s="1"/>
  <c r="K46" i="22"/>
  <c r="K47" i="22" s="1"/>
  <c r="P70" i="22"/>
  <c r="P74" i="22" s="1"/>
  <c r="P77" i="22" s="1"/>
  <c r="P71" i="22"/>
  <c r="P73" i="22" s="1"/>
  <c r="P76" i="22" s="1"/>
  <c r="P80" i="22" s="1"/>
  <c r="P46" i="22"/>
  <c r="P47" i="22" s="1"/>
  <c r="G71" i="22"/>
  <c r="G73" i="22" s="1"/>
  <c r="G76" i="22" s="1"/>
  <c r="G46" i="22"/>
  <c r="G47" i="22" s="1"/>
  <c r="G70" i="22"/>
  <c r="G74" i="22" s="1"/>
  <c r="G77" i="22" s="1"/>
  <c r="R46" i="22"/>
  <c r="R47" i="22" s="1"/>
  <c r="R70" i="22"/>
  <c r="R74" i="22" s="1"/>
  <c r="R77" i="22" s="1"/>
  <c r="R71" i="22"/>
  <c r="R73" i="22" s="1"/>
  <c r="R76" i="22" s="1"/>
  <c r="M70" i="22"/>
  <c r="M74" i="22" s="1"/>
  <c r="M77" i="22" s="1"/>
  <c r="M46" i="22"/>
  <c r="M47" i="22" s="1"/>
  <c r="M71" i="22"/>
  <c r="M73" i="22" s="1"/>
  <c r="M76" i="22" s="1"/>
  <c r="N79" i="22"/>
  <c r="L55" i="22"/>
  <c r="L66" i="22" s="1"/>
  <c r="L69" i="22" s="1"/>
  <c r="H55" i="22"/>
  <c r="H66" i="22" s="1"/>
  <c r="H69" i="22" s="1"/>
  <c r="S66" i="22"/>
  <c r="S69" i="22" s="1"/>
  <c r="B54" i="22"/>
  <c r="B80" i="22" s="1"/>
  <c r="B82" i="22" s="1"/>
  <c r="B83" i="22" s="1"/>
  <c r="X48" i="22"/>
  <c r="X52" i="22" s="1"/>
  <c r="X54" i="22" s="1"/>
  <c r="X80" i="22" s="1"/>
  <c r="X82" i="22" s="1"/>
  <c r="X83" i="22" s="1"/>
  <c r="X38" i="22"/>
  <c r="V38" i="22"/>
  <c r="V42" i="22" s="1"/>
  <c r="C54" i="22"/>
  <c r="V89" i="22"/>
  <c r="V91" i="22" s="1"/>
  <c r="V92" i="22" s="1"/>
  <c r="E38" i="22"/>
  <c r="E42" i="22" s="1"/>
  <c r="U89" i="22"/>
  <c r="W38" i="22"/>
  <c r="W42" i="22" s="1"/>
  <c r="C38" i="22"/>
  <c r="B38" i="22"/>
  <c r="B79" i="22" s="1"/>
  <c r="W89" i="22"/>
  <c r="U38" i="22"/>
  <c r="U42" i="22" s="1"/>
  <c r="F33" i="22" l="1"/>
  <c r="F34" i="22" s="1"/>
  <c r="F36" i="22" s="1"/>
  <c r="I80" i="22"/>
  <c r="P79" i="22"/>
  <c r="J79" i="22"/>
  <c r="J80" i="22"/>
  <c r="H46" i="22"/>
  <c r="H47" i="22" s="1"/>
  <c r="H70" i="22"/>
  <c r="H74" i="22" s="1"/>
  <c r="H77" i="22" s="1"/>
  <c r="H71" i="22"/>
  <c r="H73" i="22" s="1"/>
  <c r="H76" i="22" s="1"/>
  <c r="K79" i="22"/>
  <c r="M79" i="22"/>
  <c r="M80" i="22"/>
  <c r="Q80" i="22"/>
  <c r="Q79" i="22"/>
  <c r="R79" i="22"/>
  <c r="R80" i="22"/>
  <c r="S70" i="22"/>
  <c r="S74" i="22" s="1"/>
  <c r="S77" i="22" s="1"/>
  <c r="S46" i="22"/>
  <c r="S47" i="22" s="1"/>
  <c r="S71" i="22"/>
  <c r="S73" i="22" s="1"/>
  <c r="S76" i="22" s="1"/>
  <c r="L71" i="22"/>
  <c r="L73" i="22" s="1"/>
  <c r="L76" i="22" s="1"/>
  <c r="L46" i="22"/>
  <c r="L47" i="22" s="1"/>
  <c r="L70" i="22"/>
  <c r="L74" i="22" s="1"/>
  <c r="L77" i="22" s="1"/>
  <c r="G80" i="22"/>
  <c r="G79" i="22"/>
  <c r="X79" i="22"/>
  <c r="X42" i="22"/>
  <c r="X44" i="22" s="1"/>
  <c r="V79" i="22"/>
  <c r="E43" i="22"/>
  <c r="V44" i="22"/>
  <c r="V43" i="22"/>
  <c r="U79" i="22"/>
  <c r="W79" i="22"/>
  <c r="U91" i="22"/>
  <c r="U92" i="22" s="1"/>
  <c r="W91" i="22"/>
  <c r="W92" i="22" s="1"/>
  <c r="C80" i="22"/>
  <c r="C82" i="22" s="1"/>
  <c r="C83" i="22" s="1"/>
  <c r="C79" i="22"/>
  <c r="F35" i="22" l="1"/>
  <c r="F37" i="22" s="1"/>
  <c r="F49" i="22" s="1"/>
  <c r="F53" i="22" s="1"/>
  <c r="L80" i="22"/>
  <c r="L79" i="22"/>
  <c r="S80" i="22"/>
  <c r="S79" i="22"/>
  <c r="H80" i="22"/>
  <c r="H79" i="22"/>
  <c r="F48" i="22"/>
  <c r="F52" i="22" s="1"/>
  <c r="V55" i="22"/>
  <c r="V49" i="22"/>
  <c r="V53" i="22" s="1"/>
  <c r="V48" i="22"/>
  <c r="V52" i="22" s="1"/>
  <c r="E55" i="22"/>
  <c r="E66" i="22" s="1"/>
  <c r="E69" i="22" s="1"/>
  <c r="E48" i="22"/>
  <c r="E52" i="22" s="1"/>
  <c r="E49" i="22"/>
  <c r="E53" i="22" s="1"/>
  <c r="E44" i="22"/>
  <c r="W44" i="22"/>
  <c r="D25" i="26" s="1"/>
  <c r="D27" i="26" s="1"/>
  <c r="W43" i="22"/>
  <c r="W55" i="22" s="1"/>
  <c r="U44" i="22"/>
  <c r="U43" i="22"/>
  <c r="F38" i="22" l="1"/>
  <c r="F55" i="22" s="1"/>
  <c r="F66" i="22" s="1"/>
  <c r="F69" i="22" s="1"/>
  <c r="F54" i="22"/>
  <c r="E71" i="22"/>
  <c r="E73" i="22" s="1"/>
  <c r="E76" i="22" s="1"/>
  <c r="E79" i="22" s="1"/>
  <c r="E70" i="22"/>
  <c r="E74" i="22" s="1"/>
  <c r="E77" i="22" s="1"/>
  <c r="E46" i="22"/>
  <c r="E47" i="22" s="1"/>
  <c r="E86" i="22" s="1"/>
  <c r="V54" i="22"/>
  <c r="V80" i="22" s="1"/>
  <c r="V82" i="22" s="1"/>
  <c r="V83" i="22" s="1"/>
  <c r="W48" i="22"/>
  <c r="W52" i="22" s="1"/>
  <c r="W49" i="22"/>
  <c r="W53" i="22" s="1"/>
  <c r="U55" i="22"/>
  <c r="U48" i="22"/>
  <c r="U52" i="22" s="1"/>
  <c r="U49" i="22"/>
  <c r="U53" i="22" s="1"/>
  <c r="E54" i="22"/>
  <c r="E80" i="22" l="1"/>
  <c r="E82" i="22" s="1"/>
  <c r="E83" i="22" s="1"/>
  <c r="E88" i="22"/>
  <c r="E90" i="22"/>
  <c r="E89" i="22"/>
  <c r="F46" i="22"/>
  <c r="F47" i="22" s="1"/>
  <c r="F70" i="22"/>
  <c r="F74" i="22" s="1"/>
  <c r="F77" i="22" s="1"/>
  <c r="F71" i="22"/>
  <c r="F73" i="22" s="1"/>
  <c r="F76" i="22" s="1"/>
  <c r="U54" i="22"/>
  <c r="U80" i="22" s="1"/>
  <c r="U82" i="22" s="1"/>
  <c r="U83" i="22" s="1"/>
  <c r="W54" i="22"/>
  <c r="W80" i="22" s="1"/>
  <c r="W82" i="22" s="1"/>
  <c r="W83" i="22" s="1"/>
  <c r="F79" i="22" l="1"/>
  <c r="F80" i="22"/>
  <c r="E91" i="22"/>
  <c r="E92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6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寄附金控除追加
48,000円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<sst xmlns="http://schemas.openxmlformats.org/spreadsheetml/2006/main" count="175" uniqueCount="124">
  <si>
    <t>給与収入</t>
  </si>
  <si>
    <t>税負担シミュレーション＜給与所得者＞</t>
    <rPh sb="0" eb="3">
      <t>ゼイフタン</t>
    </rPh>
    <rPh sb="12" eb="14">
      <t>キュウヨ</t>
    </rPh>
    <rPh sb="14" eb="17">
      <t>ショトクシャ</t>
    </rPh>
    <phoneticPr fontId="4"/>
  </si>
  <si>
    <t>・非課税限度額一覧（H18）</t>
    <rPh sb="1" eb="4">
      <t>ヒカゼイ</t>
    </rPh>
    <rPh sb="4" eb="6">
      <t>ゲンド</t>
    </rPh>
    <rPh sb="6" eb="7">
      <t>ガク</t>
    </rPh>
    <rPh sb="7" eb="9">
      <t>イチラン</t>
    </rPh>
    <phoneticPr fontId="4"/>
  </si>
  <si>
    <t>配偶者</t>
    <rPh sb="0" eb="3">
      <t>ハイグウシャ</t>
    </rPh>
    <phoneticPr fontId="4"/>
  </si>
  <si>
    <t>人</t>
    <rPh sb="0" eb="1">
      <t>ニン</t>
    </rPh>
    <phoneticPr fontId="4"/>
  </si>
  <si>
    <t>非課税限度額</t>
    <rPh sb="0" eb="3">
      <t>ヒカゼイ</t>
    </rPh>
    <rPh sb="3" eb="5">
      <t>ゲンド</t>
    </rPh>
    <rPh sb="5" eb="6">
      <t>ガク</t>
    </rPh>
    <phoneticPr fontId="4"/>
  </si>
  <si>
    <t>課税最低限</t>
    <rPh sb="0" eb="2">
      <t>カゼイ</t>
    </rPh>
    <rPh sb="2" eb="5">
      <t>サイテイゲン</t>
    </rPh>
    <phoneticPr fontId="4"/>
  </si>
  <si>
    <t>扶養親族</t>
    <rPh sb="0" eb="2">
      <t>フヨウ</t>
    </rPh>
    <rPh sb="2" eb="4">
      <t>シンゾク</t>
    </rPh>
    <phoneticPr fontId="4"/>
  </si>
  <si>
    <t>住民税</t>
    <rPh sb="0" eb="3">
      <t>ジュウミンゼイ</t>
    </rPh>
    <phoneticPr fontId="4"/>
  </si>
  <si>
    <t>所得税</t>
    <rPh sb="0" eb="3">
      <t>ショトクゼイ</t>
    </rPh>
    <phoneticPr fontId="4"/>
  </si>
  <si>
    <t>均等割</t>
    <rPh sb="0" eb="3">
      <t>キントウワリ</t>
    </rPh>
    <phoneticPr fontId="4"/>
  </si>
  <si>
    <t>所得割</t>
    <rPh sb="0" eb="2">
      <t>ショトク</t>
    </rPh>
    <rPh sb="2" eb="3">
      <t>ワリ</t>
    </rPh>
    <phoneticPr fontId="4"/>
  </si>
  <si>
    <t>給与所得控除</t>
  </si>
  <si>
    <t>独身</t>
    <rPh sb="0" eb="2">
      <t>ドクシン</t>
    </rPh>
    <phoneticPr fontId="4"/>
  </si>
  <si>
    <t>（単位：円）</t>
    <rPh sb="1" eb="3">
      <t>タンイ</t>
    </rPh>
    <rPh sb="4" eb="5">
      <t>エン</t>
    </rPh>
    <phoneticPr fontId="4"/>
  </si>
  <si>
    <t>定率</t>
    <rPh sb="0" eb="2">
      <t>テイリツ</t>
    </rPh>
    <phoneticPr fontId="4"/>
  </si>
  <si>
    <t>夫婦</t>
    <rPh sb="0" eb="2">
      <t>フウフ</t>
    </rPh>
    <phoneticPr fontId="4"/>
  </si>
  <si>
    <t>夫婦子１人</t>
    <rPh sb="0" eb="2">
      <t>フウフ</t>
    </rPh>
    <rPh sb="2" eb="3">
      <t>コ</t>
    </rPh>
    <rPh sb="4" eb="5">
      <t>ニン</t>
    </rPh>
    <phoneticPr fontId="4"/>
  </si>
  <si>
    <t>夫婦子２人</t>
    <rPh sb="0" eb="2">
      <t>フウフ</t>
    </rPh>
    <rPh sb="2" eb="3">
      <t>コ</t>
    </rPh>
    <rPh sb="4" eb="5">
      <t>ニン</t>
    </rPh>
    <phoneticPr fontId="4"/>
  </si>
  <si>
    <t>給与所得金額</t>
    <rPh sb="4" eb="6">
      <t>キンガク</t>
    </rPh>
    <phoneticPr fontId="4"/>
  </si>
  <si>
    <t>社会保険料控除</t>
  </si>
  <si>
    <t>配偶者控除</t>
  </si>
  <si>
    <t>配偶者特別控除</t>
  </si>
  <si>
    <t>定額</t>
    <rPh sb="0" eb="1">
      <t>テイ</t>
    </rPh>
    <phoneticPr fontId="4"/>
  </si>
  <si>
    <t>扶養控除</t>
    <rPh sb="0" eb="2">
      <t>フヨウ</t>
    </rPh>
    <rPh sb="2" eb="4">
      <t>コウジョ</t>
    </rPh>
    <phoneticPr fontId="4"/>
  </si>
  <si>
    <t>基礎控除</t>
  </si>
  <si>
    <t>所得控除合計</t>
  </si>
  <si>
    <t>課税所得</t>
  </si>
  <si>
    <t>人的控除差額</t>
    <rPh sb="0" eb="2">
      <t>ジンテキ</t>
    </rPh>
    <rPh sb="2" eb="4">
      <t>コウジョ</t>
    </rPh>
    <rPh sb="4" eb="5">
      <t>サ</t>
    </rPh>
    <phoneticPr fontId="4"/>
  </si>
  <si>
    <t>社保控除</t>
  </si>
  <si>
    <t>人的控除</t>
    <rPh sb="0" eb="2">
      <t>ジンテキ</t>
    </rPh>
    <rPh sb="2" eb="4">
      <t>コウジョ</t>
    </rPh>
    <phoneticPr fontId="4"/>
  </si>
  <si>
    <t>調整控除算出（住民税）</t>
    <rPh sb="0" eb="2">
      <t>チョウセイ</t>
    </rPh>
    <rPh sb="2" eb="4">
      <t>コウジョ</t>
    </rPh>
    <rPh sb="4" eb="6">
      <t>サンシュツ</t>
    </rPh>
    <rPh sb="7" eb="10">
      <t>ジュウミンゼイ</t>
    </rPh>
    <phoneticPr fontId="4"/>
  </si>
  <si>
    <t>調整控除算出用（所得税）</t>
    <rPh sb="0" eb="2">
      <t>チョウセイ</t>
    </rPh>
    <rPh sb="2" eb="4">
      <t>コウジョ</t>
    </rPh>
    <rPh sb="4" eb="6">
      <t>サンシュツ</t>
    </rPh>
    <rPh sb="6" eb="7">
      <t>ヨウ</t>
    </rPh>
    <rPh sb="8" eb="11">
      <t>ショトクゼイ</t>
    </rPh>
    <phoneticPr fontId="4"/>
  </si>
  <si>
    <t>配特控除</t>
  </si>
  <si>
    <t>特定扶養割増</t>
    <rPh sb="0" eb="2">
      <t>トクテイ</t>
    </rPh>
    <rPh sb="2" eb="4">
      <t>フヨウ</t>
    </rPh>
    <phoneticPr fontId="4"/>
  </si>
  <si>
    <t>特定扶養割増</t>
  </si>
  <si>
    <t>税率</t>
    <rPh sb="0" eb="2">
      <t>ゼイリツ</t>
    </rPh>
    <phoneticPr fontId="4"/>
  </si>
  <si>
    <t>税額</t>
    <rPh sb="0" eb="2">
      <t>ゼイガク</t>
    </rPh>
    <phoneticPr fontId="4"/>
  </si>
  <si>
    <t>速算控除</t>
    <rPh sb="0" eb="2">
      <t>ソクサン</t>
    </rPh>
    <rPh sb="2" eb="4">
      <t>コウジョ</t>
    </rPh>
    <phoneticPr fontId="4"/>
  </si>
  <si>
    <t>住民税・所得税合計</t>
    <rPh sb="0" eb="3">
      <t>ジュウミンゼイ</t>
    </rPh>
    <rPh sb="4" eb="7">
      <t>ショトクゼイ</t>
    </rPh>
    <rPh sb="7" eb="9">
      <t>ゴウケイ</t>
    </rPh>
    <phoneticPr fontId="4"/>
  </si>
  <si>
    <t>合計税負担額（所得分のみ）</t>
    <rPh sb="0" eb="2">
      <t>ゴウケイ</t>
    </rPh>
    <rPh sb="2" eb="5">
      <t>ゼイフタン</t>
    </rPh>
    <rPh sb="5" eb="6">
      <t>ガク</t>
    </rPh>
    <rPh sb="7" eb="9">
      <t>ショトク</t>
    </rPh>
    <rPh sb="9" eb="10">
      <t>ブン</t>
    </rPh>
    <phoneticPr fontId="4"/>
  </si>
  <si>
    <t>合計税負担額</t>
    <rPh sb="0" eb="2">
      <t>ゴウケイ</t>
    </rPh>
    <rPh sb="2" eb="5">
      <t>ゼイフタン</t>
    </rPh>
    <rPh sb="5" eb="6">
      <t>ガク</t>
    </rPh>
    <phoneticPr fontId="4"/>
  </si>
  <si>
    <t>年度</t>
    <rPh sb="0" eb="2">
      <t>ネンド</t>
    </rPh>
    <phoneticPr fontId="4"/>
  </si>
  <si>
    <t>算出年度</t>
    <rPh sb="0" eb="2">
      <t>サンシュツ</t>
    </rPh>
    <rPh sb="2" eb="4">
      <t>ネンド</t>
    </rPh>
    <phoneticPr fontId="4"/>
  </si>
  <si>
    <t>所得割非課税限度額</t>
    <rPh sb="0" eb="3">
      <t>ショトクワリ</t>
    </rPh>
    <rPh sb="3" eb="6">
      <t>ヒカゼイ</t>
    </rPh>
    <rPh sb="6" eb="9">
      <t>ゲンドガク</t>
    </rPh>
    <phoneticPr fontId="4"/>
  </si>
  <si>
    <t>所得割非課税判定</t>
    <rPh sb="0" eb="3">
      <t>ショトクワリ</t>
    </rPh>
    <rPh sb="3" eb="6">
      <t>ヒカゼイ</t>
    </rPh>
    <rPh sb="6" eb="8">
      <t>ハンテイ</t>
    </rPh>
    <phoneticPr fontId="4"/>
  </si>
  <si>
    <t>均等割非課税限度額</t>
    <rPh sb="0" eb="3">
      <t>キントウワリ</t>
    </rPh>
    <rPh sb="3" eb="6">
      <t>ヒカゼイ</t>
    </rPh>
    <rPh sb="6" eb="9">
      <t>ゲンドガク</t>
    </rPh>
    <phoneticPr fontId="4"/>
  </si>
  <si>
    <t>均等割議課税判定</t>
    <rPh sb="0" eb="3">
      <t>キントウワリ</t>
    </rPh>
    <rPh sb="3" eb="4">
      <t>ギ</t>
    </rPh>
    <rPh sb="4" eb="6">
      <t>カゼイ</t>
    </rPh>
    <rPh sb="6" eb="8">
      <t>ハンテイ</t>
    </rPh>
    <phoneticPr fontId="4"/>
  </si>
  <si>
    <t>定額</t>
    <phoneticPr fontId="4"/>
  </si>
  <si>
    <t>非課税限度額調整判定</t>
    <rPh sb="0" eb="3">
      <t>ヒカゼイ</t>
    </rPh>
    <rPh sb="3" eb="6">
      <t>ゲンドガク</t>
    </rPh>
    <rPh sb="6" eb="8">
      <t>チョウセイ</t>
    </rPh>
    <rPh sb="8" eb="10">
      <t>ハンテイ</t>
    </rPh>
    <phoneticPr fontId="4"/>
  </si>
  <si>
    <t>収入 － 合計税負担</t>
    <rPh sb="0" eb="2">
      <t>シュウニュウ</t>
    </rPh>
    <rPh sb="5" eb="7">
      <t>ゴウケイ</t>
    </rPh>
    <rPh sb="7" eb="10">
      <t>ゼイフタン</t>
    </rPh>
    <phoneticPr fontId="4"/>
  </si>
  <si>
    <t>可処分所得</t>
    <rPh sb="0" eb="3">
      <t>カショブン</t>
    </rPh>
    <rPh sb="3" eb="5">
      <t>ショトク</t>
    </rPh>
    <phoneticPr fontId="4"/>
  </si>
  <si>
    <t>市町村民税</t>
    <rPh sb="0" eb="5">
      <t>シチョウソンミンゼイ</t>
    </rPh>
    <phoneticPr fontId="4"/>
  </si>
  <si>
    <t>【住民税】</t>
    <phoneticPr fontId="4"/>
  </si>
  <si>
    <t>定率</t>
    <phoneticPr fontId="4"/>
  </si>
  <si>
    <t>調整前税額（市町村民税）</t>
    <rPh sb="0" eb="3">
      <t>チョウセイマエ</t>
    </rPh>
    <rPh sb="6" eb="11">
      <t>シチョウソンミンゼイ</t>
    </rPh>
    <phoneticPr fontId="4"/>
  </si>
  <si>
    <t>調整前税額（都道府県民税）</t>
    <rPh sb="0" eb="3">
      <t>チョウセイマエ</t>
    </rPh>
    <rPh sb="6" eb="10">
      <t>トドウフケン</t>
    </rPh>
    <rPh sb="10" eb="11">
      <t>ミン</t>
    </rPh>
    <rPh sb="11" eb="12">
      <t>ゼイ</t>
    </rPh>
    <phoneticPr fontId="4"/>
  </si>
  <si>
    <t>調整控除（市町村民税）</t>
    <rPh sb="0" eb="2">
      <t>チョウセイ</t>
    </rPh>
    <rPh sb="2" eb="4">
      <t>コウジョ</t>
    </rPh>
    <rPh sb="5" eb="10">
      <t>シチョウソンミンゼイ</t>
    </rPh>
    <phoneticPr fontId="4"/>
  </si>
  <si>
    <t>調整控除(都道府県民税）</t>
    <rPh sb="0" eb="2">
      <t>チョウセイ</t>
    </rPh>
    <rPh sb="2" eb="4">
      <t>コウジョ</t>
    </rPh>
    <rPh sb="5" eb="9">
      <t>トドウフケン</t>
    </rPh>
    <rPh sb="9" eb="10">
      <t>ミン</t>
    </rPh>
    <rPh sb="10" eb="11">
      <t>ゼイ</t>
    </rPh>
    <phoneticPr fontId="4"/>
  </si>
  <si>
    <t>基礎控除</t>
    <phoneticPr fontId="4"/>
  </si>
  <si>
    <t>調整後税額(市町村民税)</t>
    <rPh sb="0" eb="3">
      <t>チョウセイゴ</t>
    </rPh>
    <rPh sb="6" eb="11">
      <t>シチョウソンミンゼイ</t>
    </rPh>
    <phoneticPr fontId="4"/>
  </si>
  <si>
    <t>配偶者控除</t>
    <phoneticPr fontId="4"/>
  </si>
  <si>
    <t>調整後税額(都道府県民税）</t>
    <rPh sb="0" eb="3">
      <t>チョウセイゴ</t>
    </rPh>
    <rPh sb="3" eb="5">
      <t>ゼイガク</t>
    </rPh>
    <rPh sb="6" eb="10">
      <t>トドウフケン</t>
    </rPh>
    <rPh sb="10" eb="11">
      <t>ミン</t>
    </rPh>
    <rPh sb="11" eb="12">
      <t>ゼイ</t>
    </rPh>
    <phoneticPr fontId="4"/>
  </si>
  <si>
    <t>所得割合計額</t>
    <rPh sb="0" eb="2">
      <t>ショトク</t>
    </rPh>
    <rPh sb="2" eb="3">
      <t>ワリ</t>
    </rPh>
    <rPh sb="3" eb="5">
      <t>ゴウケイ</t>
    </rPh>
    <rPh sb="5" eb="6">
      <t>ガク</t>
    </rPh>
    <phoneticPr fontId="4"/>
  </si>
  <si>
    <t>扶養控除</t>
    <phoneticPr fontId="4"/>
  </si>
  <si>
    <t>←未改修</t>
    <rPh sb="1" eb="2">
      <t>ミ</t>
    </rPh>
    <rPh sb="2" eb="4">
      <t>カイシュウ</t>
    </rPh>
    <phoneticPr fontId="4"/>
  </si>
  <si>
    <t>都道府県民税</t>
    <rPh sb="0" eb="4">
      <t>トドウフケン</t>
    </rPh>
    <rPh sb="4" eb="5">
      <t>ミン</t>
    </rPh>
    <rPh sb="5" eb="6">
      <t>ゼイ</t>
    </rPh>
    <phoneticPr fontId="4"/>
  </si>
  <si>
    <t>【所得税】</t>
    <phoneticPr fontId="4"/>
  </si>
  <si>
    <t>上記調整額(都道府県民税）</t>
    <rPh sb="0" eb="2">
      <t>ジョウキ</t>
    </rPh>
    <rPh sb="2" eb="5">
      <t>チョウセイガク</t>
    </rPh>
    <rPh sb="6" eb="10">
      <t>トドウフケン</t>
    </rPh>
    <rPh sb="10" eb="11">
      <t>ミン</t>
    </rPh>
    <rPh sb="11" eb="12">
      <t>ゼイ</t>
    </rPh>
    <phoneticPr fontId="4"/>
  </si>
  <si>
    <t>上記調整額（市町村民税）</t>
    <rPh sb="0" eb="2">
      <t>ジョウキ</t>
    </rPh>
    <rPh sb="2" eb="5">
      <t>チョウセイガク</t>
    </rPh>
    <rPh sb="6" eb="9">
      <t>シチョウソン</t>
    </rPh>
    <rPh sb="9" eb="10">
      <t>ミン</t>
    </rPh>
    <rPh sb="10" eb="11">
      <t>ゼイ</t>
    </rPh>
    <phoneticPr fontId="4"/>
  </si>
  <si>
    <t>確定所得割（市町村民税）</t>
    <rPh sb="0" eb="2">
      <t>カクテイ</t>
    </rPh>
    <rPh sb="2" eb="5">
      <t>ショトクワリ</t>
    </rPh>
    <rPh sb="6" eb="9">
      <t>シチョウソン</t>
    </rPh>
    <rPh sb="9" eb="10">
      <t>ミン</t>
    </rPh>
    <rPh sb="10" eb="11">
      <t>ゼイ</t>
    </rPh>
    <phoneticPr fontId="4"/>
  </si>
  <si>
    <t>確定所得割（都道府県民税）</t>
    <rPh sb="0" eb="2">
      <t>カクテイ</t>
    </rPh>
    <rPh sb="2" eb="5">
      <t>ショトクワリ</t>
    </rPh>
    <rPh sb="6" eb="10">
      <t>トドウフケン</t>
    </rPh>
    <rPh sb="10" eb="11">
      <t>ミン</t>
    </rPh>
    <rPh sb="11" eb="12">
      <t>ゼイ</t>
    </rPh>
    <phoneticPr fontId="4"/>
  </si>
  <si>
    <t>確定所得割合計額</t>
    <rPh sb="0" eb="2">
      <t>カクテイ</t>
    </rPh>
    <rPh sb="2" eb="4">
      <t>ショトク</t>
    </rPh>
    <rPh sb="4" eb="5">
      <t>ワリ</t>
    </rPh>
    <rPh sb="5" eb="7">
      <t>ゴウケイ</t>
    </rPh>
    <rPh sb="7" eb="8">
      <t>ガク</t>
    </rPh>
    <phoneticPr fontId="4"/>
  </si>
  <si>
    <t>所得割＋均等割（市町村民税）</t>
    <rPh sb="0" eb="3">
      <t>ショトクワリ</t>
    </rPh>
    <rPh sb="4" eb="7">
      <t>キントウワリ</t>
    </rPh>
    <rPh sb="8" eb="11">
      <t>シチョウソン</t>
    </rPh>
    <rPh sb="11" eb="12">
      <t>ミン</t>
    </rPh>
    <rPh sb="12" eb="13">
      <t>ゼイ</t>
    </rPh>
    <phoneticPr fontId="4"/>
  </si>
  <si>
    <t>所得割＋均等割（都道府県民税）</t>
    <rPh sb="0" eb="3">
      <t>ショトクワリ</t>
    </rPh>
    <rPh sb="4" eb="7">
      <t>キントウワリ</t>
    </rPh>
    <rPh sb="8" eb="12">
      <t>トドウフケン</t>
    </rPh>
    <rPh sb="12" eb="13">
      <t>ミン</t>
    </rPh>
    <rPh sb="13" eb="14">
      <t>ゼイ</t>
    </rPh>
    <phoneticPr fontId="4"/>
  </si>
  <si>
    <t>均等割（市町村民税）</t>
    <rPh sb="0" eb="3">
      <t>キントウワ</t>
    </rPh>
    <rPh sb="4" eb="9">
      <t>シチョウソンミンゼイ</t>
    </rPh>
    <phoneticPr fontId="4"/>
  </si>
  <si>
    <t>均等割（都道府県民税）</t>
    <rPh sb="0" eb="3">
      <t>キントウワリ</t>
    </rPh>
    <rPh sb="4" eb="8">
      <t>トドウフケン</t>
    </rPh>
    <rPh sb="8" eb="9">
      <t>ミン</t>
    </rPh>
    <rPh sb="9" eb="10">
      <t>ゼイ</t>
    </rPh>
    <phoneticPr fontId="4"/>
  </si>
  <si>
    <t>住民税額（合計）</t>
    <rPh sb="0" eb="3">
      <t>ジュウミンゼイ</t>
    </rPh>
    <rPh sb="3" eb="4">
      <t>ガク</t>
    </rPh>
    <rPh sb="5" eb="7">
      <t>ゴウケイ</t>
    </rPh>
    <phoneticPr fontId="1"/>
  </si>
  <si>
    <t>寄附金額</t>
    <rPh sb="0" eb="3">
      <t>キフキン</t>
    </rPh>
    <rPh sb="3" eb="4">
      <t>ガク</t>
    </rPh>
    <phoneticPr fontId="1"/>
  </si>
  <si>
    <t>ふるさと控除率（0.9-所得税の限界税率）②</t>
    <rPh sb="4" eb="7">
      <t>コウジョリツ</t>
    </rPh>
    <rPh sb="12" eb="15">
      <t>ショトクゼイ</t>
    </rPh>
    <rPh sb="16" eb="18">
      <t>ゲンカイ</t>
    </rPh>
    <rPh sb="18" eb="20">
      <t>ゼイリツ</t>
    </rPh>
    <phoneticPr fontId="1"/>
  </si>
  <si>
    <t>最大寄付額（①÷②＋2000）</t>
    <rPh sb="0" eb="2">
      <t>サイダイ</t>
    </rPh>
    <rPh sb="2" eb="5">
      <t>キフガク</t>
    </rPh>
    <phoneticPr fontId="1"/>
  </si>
  <si>
    <t>所得税額</t>
    <rPh sb="0" eb="2">
      <t>ショトク</t>
    </rPh>
    <phoneticPr fontId="4"/>
  </si>
  <si>
    <t>適用限度額</t>
    <rPh sb="0" eb="2">
      <t>テキヨウ</t>
    </rPh>
    <rPh sb="2" eb="5">
      <t>ゲンドガク</t>
    </rPh>
    <phoneticPr fontId="1"/>
  </si>
  <si>
    <t>個人住民税税額控除（基本分）</t>
    <rPh sb="0" eb="2">
      <t>コジン</t>
    </rPh>
    <rPh sb="2" eb="5">
      <t>ジュウミンゼイ</t>
    </rPh>
    <rPh sb="5" eb="7">
      <t>ゼイガク</t>
    </rPh>
    <rPh sb="7" eb="9">
      <t>コウジョ</t>
    </rPh>
    <rPh sb="10" eb="12">
      <t>キホン</t>
    </rPh>
    <rPh sb="12" eb="13">
      <t>ブン</t>
    </rPh>
    <phoneticPr fontId="1"/>
  </si>
  <si>
    <t>所得税所得控除軽減</t>
    <rPh sb="0" eb="3">
      <t>ショトクゼイ</t>
    </rPh>
    <rPh sb="3" eb="5">
      <t>ショトク</t>
    </rPh>
    <rPh sb="5" eb="7">
      <t>コウジョ</t>
    </rPh>
    <rPh sb="7" eb="9">
      <t>ケイゲン</t>
    </rPh>
    <phoneticPr fontId="1"/>
  </si>
  <si>
    <t>個人住民税税額控除（特例分）</t>
    <rPh sb="0" eb="2">
      <t>コジン</t>
    </rPh>
    <rPh sb="2" eb="5">
      <t>ジュウミンゼイ</t>
    </rPh>
    <rPh sb="5" eb="7">
      <t>ゼイガク</t>
    </rPh>
    <rPh sb="7" eb="9">
      <t>コウジョ</t>
    </rPh>
    <rPh sb="10" eb="12">
      <t>トクレイ</t>
    </rPh>
    <rPh sb="12" eb="13">
      <t>ブン</t>
    </rPh>
    <phoneticPr fontId="1"/>
  </si>
  <si>
    <t>寄附金控除額</t>
    <rPh sb="0" eb="3">
      <t>キフキン</t>
    </rPh>
    <rPh sb="3" eb="5">
      <t>コウジョ</t>
    </rPh>
    <rPh sb="5" eb="6">
      <t>ガク</t>
    </rPh>
    <phoneticPr fontId="1"/>
  </si>
  <si>
    <t>課税所得（寄附金控除減）</t>
    <rPh sb="0" eb="2">
      <t>カゼイ</t>
    </rPh>
    <rPh sb="2" eb="4">
      <t>ショトク</t>
    </rPh>
    <rPh sb="5" eb="8">
      <t>キフキン</t>
    </rPh>
    <rPh sb="8" eb="10">
      <t>コウジョ</t>
    </rPh>
    <rPh sb="10" eb="11">
      <t>ゲン</t>
    </rPh>
    <phoneticPr fontId="1"/>
  </si>
  <si>
    <t>所得税額（寄附金控除減）</t>
    <rPh sb="0" eb="2">
      <t>ショトク</t>
    </rPh>
    <rPh sb="5" eb="8">
      <t>キフキン</t>
    </rPh>
    <rPh sb="8" eb="10">
      <t>コウジョ</t>
    </rPh>
    <rPh sb="10" eb="11">
      <t>ゲン</t>
    </rPh>
    <phoneticPr fontId="4"/>
  </si>
  <si>
    <t>税額（寄附金控除後）</t>
    <rPh sb="0" eb="2">
      <t>ゼイガク</t>
    </rPh>
    <rPh sb="3" eb="6">
      <t>キフキン</t>
    </rPh>
    <rPh sb="6" eb="8">
      <t>コウジョ</t>
    </rPh>
    <rPh sb="8" eb="9">
      <t>ゴ</t>
    </rPh>
    <phoneticPr fontId="1"/>
  </si>
  <si>
    <t>寄附金控除額</t>
    <rPh sb="0" eb="3">
      <t>キフキン</t>
    </rPh>
    <rPh sb="3" eb="6">
      <t>コウジョガク</t>
    </rPh>
    <phoneticPr fontId="1"/>
  </si>
  <si>
    <t>＜確認用＞</t>
    <rPh sb="1" eb="3">
      <t>カクニン</t>
    </rPh>
    <rPh sb="3" eb="4">
      <t>ヨウ</t>
    </rPh>
    <phoneticPr fontId="1"/>
  </si>
  <si>
    <t>寄附金額</t>
    <rPh sb="0" eb="4">
      <t>キフキンガク</t>
    </rPh>
    <phoneticPr fontId="1"/>
  </si>
  <si>
    <t>寄附金控除（通常分）</t>
    <rPh sb="0" eb="3">
      <t>キフキン</t>
    </rPh>
    <rPh sb="3" eb="5">
      <t>コウジョ</t>
    </rPh>
    <rPh sb="6" eb="8">
      <t>ツウジョウ</t>
    </rPh>
    <rPh sb="8" eb="9">
      <t>ブン</t>
    </rPh>
    <phoneticPr fontId="1"/>
  </si>
  <si>
    <t>寄附金控除（特例分）</t>
    <rPh sb="0" eb="3">
      <t>キフキン</t>
    </rPh>
    <rPh sb="3" eb="5">
      <t>コウジョ</t>
    </rPh>
    <rPh sb="6" eb="8">
      <t>トクレイ</t>
    </rPh>
    <rPh sb="8" eb="9">
      <t>ブン</t>
    </rPh>
    <phoneticPr fontId="1"/>
  </si>
  <si>
    <t>寄附金控除（所得税と合計）</t>
    <rPh sb="0" eb="3">
      <t>キフキン</t>
    </rPh>
    <rPh sb="3" eb="5">
      <t>コウジョ</t>
    </rPh>
    <rPh sb="6" eb="9">
      <t>ショトクゼイ</t>
    </rPh>
    <rPh sb="10" eb="12">
      <t>ゴウケイ</t>
    </rPh>
    <phoneticPr fontId="1"/>
  </si>
  <si>
    <t>寄附金控除（所得税）</t>
    <rPh sb="0" eb="3">
      <t>キフキン</t>
    </rPh>
    <rPh sb="3" eb="5">
      <t>コウジョ</t>
    </rPh>
    <rPh sb="6" eb="9">
      <t>ショトクゼイ</t>
    </rPh>
    <phoneticPr fontId="1"/>
  </si>
  <si>
    <t>寄附金控除（住民税）</t>
    <rPh sb="0" eb="3">
      <t>キフキン</t>
    </rPh>
    <rPh sb="3" eb="5">
      <t>コウジョ</t>
    </rPh>
    <rPh sb="6" eb="9">
      <t>ジュウミンゼイ</t>
    </rPh>
    <phoneticPr fontId="1"/>
  </si>
  <si>
    <t>住民税に占める寄付控除の割合</t>
    <rPh sb="0" eb="3">
      <t>ジュウミンゼイ</t>
    </rPh>
    <rPh sb="4" eb="5">
      <t>シ</t>
    </rPh>
    <rPh sb="7" eb="9">
      <t>キフ</t>
    </rPh>
    <rPh sb="9" eb="11">
      <t>コウジョ</t>
    </rPh>
    <rPh sb="12" eb="14">
      <t>ワリアイ</t>
    </rPh>
    <phoneticPr fontId="1"/>
  </si>
  <si>
    <t>23歳以上</t>
  </si>
  <si>
    <t>寄附額</t>
    <rPh sb="0" eb="3">
      <t>キフガク</t>
    </rPh>
    <phoneticPr fontId="1"/>
  </si>
  <si>
    <t>給与収入額</t>
    <rPh sb="0" eb="2">
      <t>キュウヨ</t>
    </rPh>
    <rPh sb="2" eb="5">
      <t>シュウニュウガク</t>
    </rPh>
    <phoneticPr fontId="1"/>
  </si>
  <si>
    <t>円</t>
    <rPh sb="0" eb="1">
      <t>エン</t>
    </rPh>
    <phoneticPr fontId="1"/>
  </si>
  <si>
    <t>○家族構成</t>
    <rPh sb="1" eb="3">
      <t>カゾク</t>
    </rPh>
    <rPh sb="3" eb="5">
      <t>コウセイ</t>
    </rPh>
    <phoneticPr fontId="1"/>
  </si>
  <si>
    <t>○寄附しようとする額</t>
    <rPh sb="1" eb="3">
      <t>キフ</t>
    </rPh>
    <rPh sb="9" eb="10">
      <t>ガク</t>
    </rPh>
    <phoneticPr fontId="1"/>
  </si>
  <si>
    <t>控除額（所得税＋住民税）</t>
    <rPh sb="0" eb="3">
      <t>コウジョガク</t>
    </rPh>
    <rPh sb="4" eb="7">
      <t>ショトクゼイ</t>
    </rPh>
    <rPh sb="8" eb="11">
      <t>ジュウミンゼイ</t>
    </rPh>
    <phoneticPr fontId="1"/>
  </si>
  <si>
    <t>中学生以下（16歳未満）</t>
    <rPh sb="0" eb="3">
      <t>チュウガクセイ</t>
    </rPh>
    <rPh sb="3" eb="5">
      <t>イカ</t>
    </rPh>
    <rPh sb="8" eb="9">
      <t>サイ</t>
    </rPh>
    <rPh sb="9" eb="11">
      <t>ミマン</t>
    </rPh>
    <phoneticPr fontId="1"/>
  </si>
  <si>
    <t>高校生（16～18歳）</t>
    <rPh sb="0" eb="3">
      <t>コウコウセイ</t>
    </rPh>
    <rPh sb="9" eb="10">
      <t>サイ</t>
    </rPh>
    <phoneticPr fontId="1"/>
  </si>
  <si>
    <t>大学生（19～22歳）</t>
    <rPh sb="0" eb="3">
      <t>ダイガクセイ</t>
    </rPh>
    <rPh sb="9" eb="10">
      <t>サイ</t>
    </rPh>
    <phoneticPr fontId="1"/>
  </si>
  <si>
    <t>（自己負担額）</t>
    <rPh sb="1" eb="3">
      <t>ジコ</t>
    </rPh>
    <rPh sb="3" eb="6">
      <t>フタンガク</t>
    </rPh>
    <phoneticPr fontId="1"/>
  </si>
  <si>
    <t>※実際の計算は、寄附をした年の1月～12月の収入を基に行うため、寄附時点では正確な数値は判明していません。</t>
    <rPh sb="1" eb="3">
      <t>ジッサイ</t>
    </rPh>
    <rPh sb="4" eb="6">
      <t>ケイサン</t>
    </rPh>
    <rPh sb="8" eb="10">
      <t>キフ</t>
    </rPh>
    <rPh sb="13" eb="14">
      <t>トシ</t>
    </rPh>
    <rPh sb="16" eb="17">
      <t>ガツ</t>
    </rPh>
    <rPh sb="20" eb="21">
      <t>ガツ</t>
    </rPh>
    <rPh sb="22" eb="24">
      <t>シュウニュウ</t>
    </rPh>
    <rPh sb="25" eb="26">
      <t>モト</t>
    </rPh>
    <rPh sb="27" eb="28">
      <t>オコナ</t>
    </rPh>
    <rPh sb="32" eb="34">
      <t>キフ</t>
    </rPh>
    <rPh sb="34" eb="36">
      <t>ジテン</t>
    </rPh>
    <rPh sb="38" eb="40">
      <t>セイカク</t>
    </rPh>
    <rPh sb="41" eb="43">
      <t>スウチ</t>
    </rPh>
    <rPh sb="44" eb="46">
      <t>ハンメイ</t>
    </rPh>
    <phoneticPr fontId="1"/>
  </si>
  <si>
    <t>　　※必ず2,000円は自己負担となります。</t>
    <rPh sb="3" eb="4">
      <t>カナラ</t>
    </rPh>
    <rPh sb="10" eb="11">
      <t>エン</t>
    </rPh>
    <rPh sb="12" eb="14">
      <t>ジコ</t>
    </rPh>
    <rPh sb="14" eb="16">
      <t>フタン</t>
    </rPh>
    <phoneticPr fontId="1"/>
  </si>
  <si>
    <t>○寄附者の年収</t>
    <rPh sb="1" eb="4">
      <t>キフシャ</t>
    </rPh>
    <rPh sb="5" eb="7">
      <t>ネンシュウ</t>
    </rPh>
    <phoneticPr fontId="1"/>
  </si>
  <si>
    <t>控除額（目安）のシミュレーション</t>
    <phoneticPr fontId="1"/>
  </si>
  <si>
    <t>・黄色のセルに数値を入力して下さい。（ゼロの場合は入力不要）</t>
    <rPh sb="1" eb="3">
      <t>キイロ</t>
    </rPh>
    <rPh sb="7" eb="9">
      <t>スウチ</t>
    </rPh>
    <rPh sb="10" eb="12">
      <t>ニュウリョク</t>
    </rPh>
    <rPh sb="14" eb="15">
      <t>クダ</t>
    </rPh>
    <rPh sb="22" eb="24">
      <t>バアイ</t>
    </rPh>
    <rPh sb="25" eb="27">
      <t>ニュウリョク</t>
    </rPh>
    <rPh sb="27" eb="29">
      <t>フヨウ</t>
    </rPh>
    <phoneticPr fontId="1"/>
  </si>
  <si>
    <t>（控除額はあくまで目安です。正確な計算は寄附翌年にお住まいの市区町村にお尋ね下さい。）</t>
    <rPh sb="17" eb="19">
      <t>ケイサン</t>
    </rPh>
    <rPh sb="20" eb="22">
      <t>キフ</t>
    </rPh>
    <rPh sb="22" eb="24">
      <t>ヨクトシ</t>
    </rPh>
    <rPh sb="36" eb="37">
      <t>タズ</t>
    </rPh>
    <phoneticPr fontId="1"/>
  </si>
  <si>
    <t>配偶者</t>
    <rPh sb="0" eb="3">
      <t>ハイグウシャ</t>
    </rPh>
    <phoneticPr fontId="1"/>
  </si>
  <si>
    <t>専業主婦</t>
    <rPh sb="0" eb="2">
      <t>センギョウ</t>
    </rPh>
    <rPh sb="2" eb="4">
      <t>シュフ</t>
    </rPh>
    <phoneticPr fontId="1"/>
  </si>
  <si>
    <t>所得割（市町村民税）寄附金控除後</t>
    <rPh sb="0" eb="3">
      <t>ショトクワリ</t>
    </rPh>
    <rPh sb="4" eb="7">
      <t>シチョウソン</t>
    </rPh>
    <rPh sb="7" eb="8">
      <t>ミン</t>
    </rPh>
    <rPh sb="8" eb="9">
      <t>ゼイ</t>
    </rPh>
    <rPh sb="10" eb="13">
      <t>キフキン</t>
    </rPh>
    <rPh sb="13" eb="15">
      <t>コウジョ</t>
    </rPh>
    <rPh sb="15" eb="16">
      <t>ゴ</t>
    </rPh>
    <phoneticPr fontId="4"/>
  </si>
  <si>
    <t>所得割（都道府県民税）寄附金控除後</t>
    <rPh sb="0" eb="3">
      <t>ショトクワリ</t>
    </rPh>
    <rPh sb="4" eb="8">
      <t>トドウフケン</t>
    </rPh>
    <rPh sb="8" eb="9">
      <t>ミン</t>
    </rPh>
    <rPh sb="9" eb="10">
      <t>ゼイ</t>
    </rPh>
    <rPh sb="11" eb="14">
      <t>キフキン</t>
    </rPh>
    <rPh sb="14" eb="16">
      <t>コウジョ</t>
    </rPh>
    <rPh sb="16" eb="17">
      <t>ゴ</t>
    </rPh>
    <phoneticPr fontId="4"/>
  </si>
  <si>
    <r>
      <t>寄附金控除</t>
    </r>
    <r>
      <rPr>
        <u/>
        <sz val="11"/>
        <color rgb="FF00FF00"/>
        <rFont val="ＭＳ Ｐゴシック"/>
        <family val="3"/>
        <charset val="128"/>
      </rPr>
      <t>による軽減</t>
    </r>
    <r>
      <rPr>
        <sz val="11"/>
        <rFont val="ＭＳ Ｐゴシック"/>
        <family val="3"/>
        <charset val="128"/>
      </rPr>
      <t>額</t>
    </r>
    <rPh sb="0" eb="3">
      <t>キフキン</t>
    </rPh>
    <rPh sb="3" eb="5">
      <t>コウジョ</t>
    </rPh>
    <rPh sb="8" eb="10">
      <t>ケイゲン</t>
    </rPh>
    <rPh sb="10" eb="11">
      <t>ガク</t>
    </rPh>
    <phoneticPr fontId="1"/>
  </si>
  <si>
    <t>ふるさと控除上限額（調整控除後税額×0.2）①</t>
    <rPh sb="4" eb="6">
      <t>コウジョ</t>
    </rPh>
    <rPh sb="6" eb="9">
      <t>ジョウゲンガク</t>
    </rPh>
    <rPh sb="10" eb="12">
      <t>チョウセイ</t>
    </rPh>
    <rPh sb="12" eb="14">
      <t>コウジョ</t>
    </rPh>
    <rPh sb="14" eb="15">
      <t>ゴ</t>
    </rPh>
    <rPh sb="15" eb="17">
      <t>ゼイガク</t>
    </rPh>
    <phoneticPr fontId="1"/>
  </si>
  <si>
    <t>給与所得金額</t>
    <rPh sb="4" eb="6">
      <t>キンガク</t>
    </rPh>
    <phoneticPr fontId="1"/>
  </si>
  <si>
    <t>共働き（年収201万円超）</t>
    <rPh sb="0" eb="2">
      <t>トモバタラ</t>
    </rPh>
    <rPh sb="4" eb="6">
      <t>ネンシュウ</t>
    </rPh>
    <rPh sb="9" eb="11">
      <t>マンエン</t>
    </rPh>
    <rPh sb="11" eb="12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</si>
</sst>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#,##0.00000;[Red]\-#,##0.00000"/>
    <numFmt numFmtId="178" formatCode="#,##0.0;[Red]\-#,##0.0"/>
  </numFmts>
  <fonts count="2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20"/>
      <name val="ＤＦ特太ゴシック体"/>
      <family val="3"/>
      <charset val="128"/>
    </font>
    <font>
      <sz val="12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6"/>
      <name val="ＤＦ特太ゴシック体"/>
      <family val="3"/>
      <charset val="128"/>
    </font>
    <font>
      <b/>
      <sz val="12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.5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1"/>
      <color rgb="FF00FF00"/>
      <name val="ＭＳ Ｐゴシック"/>
      <family val="3"/>
      <charset val="128"/>
    </font>
    <font>
      <u/>
      <sz val="11"/>
      <color rgb="FF00FF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trike/>
      <sz val="11"/>
      <color indexed="12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</cellStyleXfs>
  <cellXfs count="334">
    <xf numFmtId="0" fontId="0" fillId="0" borderId="0" xfId="0"/>
    <xf numFmtId="38" fontId="2" fillId="0" borderId="0" xfId="1" applyFont="1" applyAlignment="1">
      <alignment vertical="center"/>
    </xf>
    <xf numFmtId="38" fontId="2" fillId="0" borderId="10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13" xfId="1" applyFont="1" applyBorder="1" applyAlignment="1">
      <alignment vertical="center"/>
    </xf>
    <xf numFmtId="38" fontId="2" fillId="0" borderId="19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38" fontId="2" fillId="0" borderId="3" xfId="1" applyFont="1" applyBorder="1" applyAlignment="1">
      <alignment horizontal="center" vertical="center"/>
    </xf>
    <xf numFmtId="38" fontId="0" fillId="0" borderId="20" xfId="1" applyFont="1" applyFill="1" applyBorder="1" applyAlignment="1">
      <alignment vertical="center" shrinkToFit="1"/>
    </xf>
    <xf numFmtId="38" fontId="2" fillId="0" borderId="0" xfId="1" applyFont="1" applyFill="1" applyBorder="1" applyAlignment="1">
      <alignment vertical="center" shrinkToFit="1"/>
    </xf>
    <xf numFmtId="38" fontId="2" fillId="0" borderId="43" xfId="1" applyFont="1" applyFill="1" applyBorder="1" applyAlignment="1">
      <alignment vertical="center" shrinkToFit="1"/>
    </xf>
    <xf numFmtId="38" fontId="0" fillId="0" borderId="6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38" fontId="7" fillId="0" borderId="0" xfId="1" applyFont="1" applyAlignment="1">
      <alignment horizontal="right" vertical="center"/>
    </xf>
    <xf numFmtId="38" fontId="8" fillId="5" borderId="0" xfId="1" applyFont="1" applyFill="1" applyAlignment="1">
      <alignment vertical="center"/>
    </xf>
    <xf numFmtId="38" fontId="7" fillId="0" borderId="0" xfId="1" applyFont="1" applyAlignment="1">
      <alignment vertical="center"/>
    </xf>
    <xf numFmtId="38" fontId="5" fillId="0" borderId="4" xfId="1" applyFont="1" applyFill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7" xfId="1" applyFont="1" applyBorder="1" applyAlignment="1">
      <alignment horizontal="center" vertical="center"/>
    </xf>
    <xf numFmtId="38" fontId="5" fillId="5" borderId="12" xfId="1" applyFont="1" applyFill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2" fillId="0" borderId="11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38" fontId="2" fillId="0" borderId="14" xfId="1" applyFont="1" applyBorder="1" applyAlignment="1">
      <alignment vertical="center" shrinkToFit="1"/>
    </xf>
    <xf numFmtId="38" fontId="5" fillId="0" borderId="1" xfId="1" applyFont="1" applyBorder="1" applyAlignment="1">
      <alignment vertical="center" shrinkToFit="1"/>
    </xf>
    <xf numFmtId="38" fontId="2" fillId="0" borderId="15" xfId="1" applyFont="1" applyBorder="1" applyAlignment="1">
      <alignment vertical="center"/>
    </xf>
    <xf numFmtId="38" fontId="2" fillId="0" borderId="16" xfId="1" applyFont="1" applyBorder="1" applyAlignment="1">
      <alignment vertical="center"/>
    </xf>
    <xf numFmtId="38" fontId="0" fillId="0" borderId="0" xfId="1" applyFont="1" applyAlignment="1">
      <alignment horizontal="right" vertical="center"/>
    </xf>
    <xf numFmtId="40" fontId="2" fillId="0" borderId="1" xfId="1" applyNumberFormat="1" applyFont="1" applyBorder="1" applyAlignment="1">
      <alignment vertical="center" shrinkToFit="1"/>
    </xf>
    <xf numFmtId="38" fontId="2" fillId="0" borderId="0" xfId="1" applyFont="1" applyAlignment="1">
      <alignment horizontal="right" vertical="center"/>
    </xf>
    <xf numFmtId="38" fontId="10" fillId="0" borderId="0" xfId="1" applyFont="1" applyFill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38" fontId="11" fillId="5" borderId="38" xfId="1" applyFont="1" applyFill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2" fillId="0" borderId="21" xfId="1" applyFont="1" applyBorder="1" applyAlignment="1">
      <alignment vertical="center"/>
    </xf>
    <xf numFmtId="38" fontId="2" fillId="0" borderId="17" xfId="1" applyFont="1" applyBorder="1" applyAlignment="1">
      <alignment vertical="center" shrinkToFit="1"/>
    </xf>
    <xf numFmtId="38" fontId="5" fillId="12" borderId="18" xfId="1" applyFont="1" applyFill="1" applyBorder="1" applyAlignment="1">
      <alignment vertical="center" shrinkToFit="1"/>
    </xf>
    <xf numFmtId="38" fontId="5" fillId="12" borderId="18" xfId="1" applyFont="1" applyFill="1" applyBorder="1" applyAlignment="1">
      <alignment vertical="center"/>
    </xf>
    <xf numFmtId="38" fontId="5" fillId="4" borderId="18" xfId="1" applyFont="1" applyFill="1" applyBorder="1" applyAlignment="1">
      <alignment vertical="center"/>
    </xf>
    <xf numFmtId="38" fontId="5" fillId="4" borderId="40" xfId="1" applyFont="1" applyFill="1" applyBorder="1" applyAlignment="1">
      <alignment vertical="center"/>
    </xf>
    <xf numFmtId="38" fontId="5" fillId="4" borderId="41" xfId="1" applyFont="1" applyFill="1" applyBorder="1" applyAlignment="1">
      <alignment vertical="center"/>
    </xf>
    <xf numFmtId="38" fontId="5" fillId="4" borderId="42" xfId="1" applyFont="1" applyFill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2" fillId="0" borderId="20" xfId="1" applyFont="1" applyBorder="1" applyAlignment="1">
      <alignment vertical="center" shrinkToFit="1"/>
    </xf>
    <xf numFmtId="38" fontId="2" fillId="12" borderId="0" xfId="1" applyFont="1" applyFill="1" applyBorder="1" applyAlignment="1">
      <alignment vertical="center" shrinkToFit="1"/>
    </xf>
    <xf numFmtId="38" fontId="2" fillId="12" borderId="0" xfId="1" applyFont="1" applyFill="1" applyBorder="1" applyAlignment="1">
      <alignment vertical="center"/>
    </xf>
    <xf numFmtId="38" fontId="2" fillId="0" borderId="43" xfId="1" applyFont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43" xfId="1" applyFont="1" applyFill="1" applyBorder="1" applyAlignment="1">
      <alignment vertical="center"/>
    </xf>
    <xf numFmtId="38" fontId="2" fillId="0" borderId="44" xfId="1" applyFont="1" applyFill="1" applyBorder="1" applyAlignment="1">
      <alignment vertical="center"/>
    </xf>
    <xf numFmtId="38" fontId="2" fillId="0" borderId="22" xfId="1" applyFont="1" applyBorder="1" applyAlignment="1">
      <alignment vertical="center" shrinkToFit="1"/>
    </xf>
    <xf numFmtId="40" fontId="2" fillId="0" borderId="23" xfId="1" applyNumberFormat="1" applyFont="1" applyBorder="1" applyAlignment="1">
      <alignment vertical="center" shrinkToFit="1"/>
    </xf>
    <xf numFmtId="38" fontId="2" fillId="6" borderId="20" xfId="1" applyFont="1" applyFill="1" applyBorder="1" applyAlignment="1">
      <alignment vertical="center" shrinkToFit="1"/>
    </xf>
    <xf numFmtId="38" fontId="2" fillId="6" borderId="0" xfId="1" applyFont="1" applyFill="1" applyBorder="1" applyAlignment="1">
      <alignment vertical="center"/>
    </xf>
    <xf numFmtId="38" fontId="2" fillId="6" borderId="43" xfId="1" applyFont="1" applyFill="1" applyBorder="1" applyAlignment="1">
      <alignment vertical="center"/>
    </xf>
    <xf numFmtId="38" fontId="2" fillId="6" borderId="44" xfId="1" applyFont="1" applyFill="1" applyBorder="1" applyAlignment="1">
      <alignment vertical="center"/>
    </xf>
    <xf numFmtId="40" fontId="2" fillId="4" borderId="1" xfId="1" applyNumberFormat="1" applyFont="1" applyFill="1" applyBorder="1" applyAlignment="1">
      <alignment vertical="center" shrinkToFit="1"/>
    </xf>
    <xf numFmtId="38" fontId="2" fillId="12" borderId="0" xfId="1" applyFont="1" applyFill="1" applyBorder="1" applyAlignment="1">
      <alignment horizontal="center" vertical="center" shrinkToFit="1"/>
    </xf>
    <xf numFmtId="38" fontId="2" fillId="12" borderId="0" xfId="1" applyFont="1" applyFill="1" applyBorder="1" applyAlignment="1">
      <alignment horizontal="center" vertical="center"/>
    </xf>
    <xf numFmtId="38" fontId="2" fillId="6" borderId="0" xfId="1" applyFont="1" applyFill="1" applyBorder="1" applyAlignment="1">
      <alignment horizontal="center" vertical="center"/>
    </xf>
    <xf numFmtId="38" fontId="2" fillId="6" borderId="43" xfId="1" applyFont="1" applyFill="1" applyBorder="1" applyAlignment="1">
      <alignment horizontal="center" vertical="center"/>
    </xf>
    <xf numFmtId="38" fontId="2" fillId="6" borderId="44" xfId="1" applyFont="1" applyFill="1" applyBorder="1" applyAlignment="1">
      <alignment horizontal="center" vertical="center"/>
    </xf>
    <xf numFmtId="38" fontId="2" fillId="0" borderId="24" xfId="1" applyFont="1" applyBorder="1" applyAlignment="1">
      <alignment vertical="center" shrinkToFit="1"/>
    </xf>
    <xf numFmtId="38" fontId="2" fillId="0" borderId="25" xfId="1" applyFont="1" applyBorder="1" applyAlignment="1">
      <alignment vertical="center" shrinkToFit="1"/>
    </xf>
    <xf numFmtId="38" fontId="2" fillId="0" borderId="1" xfId="1" applyFont="1" applyBorder="1" applyAlignment="1">
      <alignment vertical="center" shrinkToFit="1"/>
    </xf>
    <xf numFmtId="38" fontId="2" fillId="0" borderId="44" xfId="1" applyFont="1" applyBorder="1" applyAlignment="1">
      <alignment vertical="center"/>
    </xf>
    <xf numFmtId="38" fontId="2" fillId="0" borderId="26" xfId="1" applyFont="1" applyBorder="1" applyAlignment="1">
      <alignment vertical="center" shrinkToFit="1"/>
    </xf>
    <xf numFmtId="38" fontId="2" fillId="0" borderId="21" xfId="1" applyFont="1" applyBorder="1" applyAlignment="1">
      <alignment vertical="center" shrinkToFit="1"/>
    </xf>
    <xf numFmtId="38" fontId="2" fillId="0" borderId="9" xfId="1" applyFont="1" applyBorder="1" applyAlignment="1">
      <alignment vertical="center" shrinkToFit="1"/>
    </xf>
    <xf numFmtId="38" fontId="2" fillId="0" borderId="2" xfId="1" applyFont="1" applyBorder="1" applyAlignment="1">
      <alignment vertical="center" shrinkToFit="1"/>
    </xf>
    <xf numFmtId="38" fontId="2" fillId="4" borderId="20" xfId="1" applyFont="1" applyFill="1" applyBorder="1" applyAlignment="1">
      <alignment vertical="center" shrinkToFit="1"/>
    </xf>
    <xf numFmtId="38" fontId="2" fillId="4" borderId="0" xfId="1" applyFont="1" applyFill="1" applyBorder="1" applyAlignment="1">
      <alignment vertical="center"/>
    </xf>
    <xf numFmtId="38" fontId="2" fillId="4" borderId="43" xfId="1" applyFont="1" applyFill="1" applyBorder="1" applyAlignment="1">
      <alignment vertical="center"/>
    </xf>
    <xf numFmtId="38" fontId="2" fillId="4" borderId="44" xfId="1" applyFont="1" applyFill="1" applyBorder="1" applyAlignment="1">
      <alignment vertical="center"/>
    </xf>
    <xf numFmtId="38" fontId="0" fillId="0" borderId="20" xfId="1" applyFont="1" applyBorder="1" applyAlignment="1">
      <alignment vertical="center" shrinkToFit="1"/>
    </xf>
    <xf numFmtId="38" fontId="2" fillId="0" borderId="0" xfId="1" applyFont="1" applyBorder="1" applyAlignment="1">
      <alignment vertical="center" shrinkToFit="1"/>
    </xf>
    <xf numFmtId="38" fontId="2" fillId="0" borderId="43" xfId="1" applyFont="1" applyBorder="1" applyAlignment="1">
      <alignment vertical="center" shrinkToFit="1"/>
    </xf>
    <xf numFmtId="38" fontId="2" fillId="0" borderId="44" xfId="1" applyFont="1" applyBorder="1" applyAlignment="1">
      <alignment vertical="center" shrinkToFit="1"/>
    </xf>
    <xf numFmtId="38" fontId="2" fillId="12" borderId="0" xfId="1" applyFont="1" applyFill="1" applyBorder="1" applyAlignment="1">
      <alignment horizontal="right" vertical="center" shrinkToFit="1"/>
    </xf>
    <xf numFmtId="38" fontId="2" fillId="0" borderId="0" xfId="1" applyFont="1" applyBorder="1" applyAlignment="1">
      <alignment horizontal="right" vertical="center"/>
    </xf>
    <xf numFmtId="38" fontId="2" fillId="0" borderId="0" xfId="1" applyFont="1" applyFill="1" applyAlignment="1">
      <alignment vertical="center"/>
    </xf>
    <xf numFmtId="38" fontId="2" fillId="7" borderId="9" xfId="1" applyFont="1" applyFill="1" applyBorder="1" applyAlignment="1">
      <alignment vertical="center"/>
    </xf>
    <xf numFmtId="38" fontId="2" fillId="7" borderId="2" xfId="1" applyFont="1" applyFill="1" applyBorder="1" applyAlignment="1">
      <alignment vertical="center"/>
    </xf>
    <xf numFmtId="38" fontId="2" fillId="2" borderId="14" xfId="1" applyFont="1" applyFill="1" applyBorder="1" applyAlignment="1">
      <alignment horizontal="left" vertical="center" shrinkToFit="1"/>
    </xf>
    <xf numFmtId="38" fontId="5" fillId="2" borderId="1" xfId="1" applyFont="1" applyFill="1" applyBorder="1" applyAlignment="1">
      <alignment vertical="center" shrinkToFit="1"/>
    </xf>
    <xf numFmtId="38" fontId="2" fillId="2" borderId="14" xfId="1" applyFont="1" applyFill="1" applyBorder="1" applyAlignment="1">
      <alignment vertical="center" shrinkToFit="1"/>
    </xf>
    <xf numFmtId="38" fontId="0" fillId="4" borderId="20" xfId="1" applyFont="1" applyFill="1" applyBorder="1" applyAlignment="1">
      <alignment vertical="center" shrinkToFit="1"/>
    </xf>
    <xf numFmtId="38" fontId="2" fillId="4" borderId="0" xfId="1" applyFont="1" applyFill="1" applyBorder="1" applyAlignment="1">
      <alignment vertical="center" shrinkToFit="1"/>
    </xf>
    <xf numFmtId="38" fontId="2" fillId="4" borderId="43" xfId="1" applyFont="1" applyFill="1" applyBorder="1" applyAlignment="1">
      <alignment vertical="center" shrinkToFit="1"/>
    </xf>
    <xf numFmtId="38" fontId="2" fillId="4" borderId="44" xfId="1" applyFont="1" applyFill="1" applyBorder="1" applyAlignment="1">
      <alignment vertical="center" shrinkToFit="1"/>
    </xf>
    <xf numFmtId="38" fontId="2" fillId="8" borderId="20" xfId="1" applyFont="1" applyFill="1" applyBorder="1" applyAlignment="1">
      <alignment vertical="center" shrinkToFit="1"/>
    </xf>
    <xf numFmtId="38" fontId="2" fillId="8" borderId="0" xfId="1" applyFont="1" applyFill="1" applyBorder="1" applyAlignment="1">
      <alignment horizontal="center" vertical="center" shrinkToFit="1"/>
    </xf>
    <xf numFmtId="38" fontId="2" fillId="8" borderId="43" xfId="1" applyFont="1" applyFill="1" applyBorder="1" applyAlignment="1">
      <alignment horizontal="center" vertical="center" shrinkToFit="1"/>
    </xf>
    <xf numFmtId="38" fontId="2" fillId="8" borderId="44" xfId="1" applyFont="1" applyFill="1" applyBorder="1" applyAlignment="1">
      <alignment horizontal="center" vertical="center" shrinkToFit="1"/>
    </xf>
    <xf numFmtId="38" fontId="0" fillId="0" borderId="0" xfId="1" applyFont="1" applyFill="1" applyBorder="1" applyAlignment="1">
      <alignment vertical="center"/>
    </xf>
    <xf numFmtId="38" fontId="2" fillId="8" borderId="0" xfId="1" applyFont="1" applyFill="1" applyBorder="1" applyAlignment="1">
      <alignment horizontal="right" vertical="center" shrinkToFit="1"/>
    </xf>
    <xf numFmtId="38" fontId="2" fillId="8" borderId="43" xfId="1" applyFont="1" applyFill="1" applyBorder="1" applyAlignment="1">
      <alignment horizontal="right" vertical="center" shrinkToFit="1"/>
    </xf>
    <xf numFmtId="38" fontId="2" fillId="8" borderId="44" xfId="1" applyFont="1" applyFill="1" applyBorder="1" applyAlignment="1">
      <alignment horizontal="right" vertical="center" shrinkToFit="1"/>
    </xf>
    <xf numFmtId="38" fontId="5" fillId="0" borderId="0" xfId="1" applyFont="1" applyFill="1" applyBorder="1" applyAlignment="1">
      <alignment vertical="center" shrinkToFit="1"/>
    </xf>
    <xf numFmtId="38" fontId="0" fillId="8" borderId="20" xfId="1" applyFont="1" applyFill="1" applyBorder="1" applyAlignment="1">
      <alignment vertical="center" shrinkToFit="1"/>
    </xf>
    <xf numFmtId="38" fontId="2" fillId="0" borderId="32" xfId="1" applyFont="1" applyFill="1" applyBorder="1" applyAlignment="1">
      <alignment vertical="center" shrinkToFit="1"/>
    </xf>
    <xf numFmtId="38" fontId="5" fillId="0" borderId="15" xfId="1" applyFont="1" applyFill="1" applyBorder="1" applyAlignment="1">
      <alignment vertical="center" shrinkToFit="1"/>
    </xf>
    <xf numFmtId="176" fontId="2" fillId="0" borderId="0" xfId="1" applyNumberFormat="1" applyFont="1" applyBorder="1" applyAlignment="1">
      <alignment vertical="center" shrinkToFit="1"/>
    </xf>
    <xf numFmtId="38" fontId="2" fillId="12" borderId="39" xfId="1" applyFont="1" applyFill="1" applyBorder="1" applyAlignment="1">
      <alignment vertical="center" shrinkToFit="1"/>
    </xf>
    <xf numFmtId="38" fontId="0" fillId="4" borderId="27" xfId="1" applyFont="1" applyFill="1" applyBorder="1" applyAlignment="1">
      <alignment vertical="center" shrinkToFit="1"/>
    </xf>
    <xf numFmtId="38" fontId="2" fillId="12" borderId="31" xfId="1" applyFont="1" applyFill="1" applyBorder="1" applyAlignment="1">
      <alignment vertical="center" shrinkToFit="1"/>
    </xf>
    <xf numFmtId="38" fontId="2" fillId="12" borderId="6" xfId="1" applyFont="1" applyFill="1" applyBorder="1" applyAlignment="1">
      <alignment vertical="center" shrinkToFit="1"/>
    </xf>
    <xf numFmtId="38" fontId="2" fillId="4" borderId="6" xfId="1" applyFont="1" applyFill="1" applyBorder="1" applyAlignment="1">
      <alignment vertical="center" shrinkToFit="1"/>
    </xf>
    <xf numFmtId="38" fontId="2" fillId="4" borderId="45" xfId="1" applyFont="1" applyFill="1" applyBorder="1" applyAlignment="1">
      <alignment vertical="center" shrinkToFit="1"/>
    </xf>
    <xf numFmtId="38" fontId="2" fillId="4" borderId="46" xfId="1" applyFont="1" applyFill="1" applyBorder="1" applyAlignment="1">
      <alignment vertical="center" shrinkToFit="1"/>
    </xf>
    <xf numFmtId="38" fontId="0" fillId="14" borderId="20" xfId="1" applyFont="1" applyFill="1" applyBorder="1" applyAlignment="1">
      <alignment vertical="center" shrinkToFit="1"/>
    </xf>
    <xf numFmtId="38" fontId="2" fillId="14" borderId="0" xfId="1" applyFont="1" applyFill="1" applyBorder="1" applyAlignment="1">
      <alignment vertical="center" shrinkToFit="1"/>
    </xf>
    <xf numFmtId="38" fontId="2" fillId="15" borderId="0" xfId="1" applyFont="1" applyFill="1" applyBorder="1" applyAlignment="1">
      <alignment vertical="center" shrinkToFit="1"/>
    </xf>
    <xf numFmtId="38" fontId="2" fillId="15" borderId="43" xfId="1" applyFont="1" applyFill="1" applyBorder="1" applyAlignment="1">
      <alignment vertical="center" shrinkToFit="1"/>
    </xf>
    <xf numFmtId="38" fontId="2" fillId="11" borderId="0" xfId="1" applyFont="1" applyFill="1" applyBorder="1" applyAlignment="1">
      <alignment vertical="center" shrinkToFit="1"/>
    </xf>
    <xf numFmtId="38" fontId="2" fillId="11" borderId="43" xfId="1" applyFont="1" applyFill="1" applyBorder="1" applyAlignment="1">
      <alignment vertical="center" shrinkToFit="1"/>
    </xf>
    <xf numFmtId="38" fontId="2" fillId="11" borderId="44" xfId="1" applyFont="1" applyFill="1" applyBorder="1" applyAlignment="1">
      <alignment vertical="center" shrinkToFit="1"/>
    </xf>
    <xf numFmtId="40" fontId="2" fillId="12" borderId="0" xfId="1" applyNumberFormat="1" applyFont="1" applyFill="1" applyBorder="1" applyAlignment="1">
      <alignment vertical="center" shrinkToFit="1"/>
    </xf>
    <xf numFmtId="40" fontId="2" fillId="11" borderId="0" xfId="1" applyNumberFormat="1" applyFont="1" applyFill="1" applyBorder="1" applyAlignment="1">
      <alignment vertical="center" shrinkToFit="1"/>
    </xf>
    <xf numFmtId="38" fontId="2" fillId="12" borderId="18" xfId="1" applyFont="1" applyFill="1" applyBorder="1" applyAlignment="1">
      <alignment vertical="center" shrinkToFit="1"/>
    </xf>
    <xf numFmtId="38" fontId="2" fillId="2" borderId="18" xfId="1" applyFont="1" applyFill="1" applyBorder="1" applyAlignment="1">
      <alignment vertical="center" shrinkToFit="1"/>
    </xf>
    <xf numFmtId="38" fontId="2" fillId="2" borderId="47" xfId="1" applyFont="1" applyFill="1" applyBorder="1" applyAlignment="1">
      <alignment vertical="center" shrinkToFit="1"/>
    </xf>
    <xf numFmtId="38" fontId="2" fillId="2" borderId="48" xfId="1" applyFont="1" applyFill="1" applyBorder="1" applyAlignment="1">
      <alignment vertical="center" shrinkToFit="1"/>
    </xf>
    <xf numFmtId="38" fontId="2" fillId="2" borderId="0" xfId="1" applyFont="1" applyFill="1" applyBorder="1" applyAlignment="1">
      <alignment vertical="center" shrinkToFit="1"/>
    </xf>
    <xf numFmtId="38" fontId="2" fillId="2" borderId="43" xfId="1" applyFont="1" applyFill="1" applyBorder="1" applyAlignment="1">
      <alignment vertical="center" shrinkToFit="1"/>
    </xf>
    <xf numFmtId="38" fontId="2" fillId="2" borderId="44" xfId="1" applyFont="1" applyFill="1" applyBorder="1" applyAlignment="1">
      <alignment vertical="center" shrinkToFit="1"/>
    </xf>
    <xf numFmtId="38" fontId="2" fillId="12" borderId="18" xfId="1" applyFont="1" applyFill="1" applyBorder="1" applyAlignment="1">
      <alignment vertical="center"/>
    </xf>
    <xf numFmtId="38" fontId="2" fillId="9" borderId="0" xfId="1" applyFont="1" applyFill="1" applyBorder="1" applyAlignment="1">
      <alignment vertical="center"/>
    </xf>
    <xf numFmtId="38" fontId="2" fillId="10" borderId="0" xfId="1" applyFont="1" applyFill="1" applyBorder="1" applyAlignment="1">
      <alignment vertical="center"/>
    </xf>
    <xf numFmtId="38" fontId="2" fillId="12" borderId="0" xfId="1" applyFont="1" applyFill="1" applyAlignment="1">
      <alignment vertical="center"/>
    </xf>
    <xf numFmtId="38" fontId="2" fillId="0" borderId="18" xfId="1" applyFont="1" applyBorder="1" applyAlignment="1">
      <alignment vertical="center"/>
    </xf>
    <xf numFmtId="38" fontId="2" fillId="0" borderId="47" xfId="1" applyFont="1" applyBorder="1" applyAlignment="1">
      <alignment vertical="center"/>
    </xf>
    <xf numFmtId="38" fontId="2" fillId="0" borderId="48" xfId="1" applyFont="1" applyBorder="1" applyAlignment="1">
      <alignment vertical="center"/>
    </xf>
    <xf numFmtId="38" fontId="2" fillId="3" borderId="14" xfId="1" applyFont="1" applyFill="1" applyBorder="1" applyAlignment="1">
      <alignment horizontal="left" vertical="center" shrinkToFit="1"/>
    </xf>
    <xf numFmtId="38" fontId="5" fillId="3" borderId="1" xfId="1" applyFont="1" applyFill="1" applyBorder="1" applyAlignment="1">
      <alignment vertical="center" shrinkToFit="1"/>
    </xf>
    <xf numFmtId="38" fontId="2" fillId="3" borderId="14" xfId="1" applyFont="1" applyFill="1" applyBorder="1" applyAlignment="1">
      <alignment vertical="center" shrinkToFit="1"/>
    </xf>
    <xf numFmtId="38" fontId="2" fillId="3" borderId="26" xfId="1" applyFont="1" applyFill="1" applyBorder="1" applyAlignment="1">
      <alignment horizontal="left" vertical="center" shrinkToFit="1"/>
    </xf>
    <xf numFmtId="38" fontId="5" fillId="3" borderId="21" xfId="1" applyFont="1" applyFill="1" applyBorder="1" applyAlignment="1">
      <alignment vertical="center" shrinkToFit="1"/>
    </xf>
    <xf numFmtId="38" fontId="2" fillId="3" borderId="26" xfId="1" applyFont="1" applyFill="1" applyBorder="1" applyAlignment="1">
      <alignment vertical="center" shrinkToFit="1"/>
    </xf>
    <xf numFmtId="38" fontId="2" fillId="10" borderId="0" xfId="1" applyFont="1" applyFill="1" applyBorder="1" applyAlignment="1">
      <alignment vertical="center" shrinkToFit="1"/>
    </xf>
    <xf numFmtId="38" fontId="2" fillId="10" borderId="43" xfId="1" applyFont="1" applyFill="1" applyBorder="1" applyAlignment="1">
      <alignment vertical="center"/>
    </xf>
    <xf numFmtId="38" fontId="2" fillId="10" borderId="44" xfId="1" applyFont="1" applyFill="1" applyBorder="1" applyAlignment="1">
      <alignment vertical="center"/>
    </xf>
    <xf numFmtId="38" fontId="2" fillId="13" borderId="28" xfId="1" applyFont="1" applyFill="1" applyBorder="1" applyAlignment="1">
      <alignment vertical="center" shrinkToFit="1"/>
    </xf>
    <xf numFmtId="38" fontId="2" fillId="13" borderId="29" xfId="1" applyFont="1" applyFill="1" applyBorder="1" applyAlignment="1">
      <alignment vertical="center" shrinkToFit="1"/>
    </xf>
    <xf numFmtId="38" fontId="2" fillId="13" borderId="29" xfId="1" applyFont="1" applyFill="1" applyBorder="1" applyAlignment="1">
      <alignment vertical="center"/>
    </xf>
    <xf numFmtId="38" fontId="2" fillId="13" borderId="49" xfId="1" applyFont="1" applyFill="1" applyBorder="1" applyAlignment="1">
      <alignment vertical="center"/>
    </xf>
    <xf numFmtId="38" fontId="2" fillId="13" borderId="50" xfId="1" applyFont="1" applyFill="1" applyBorder="1" applyAlignment="1">
      <alignment vertical="center"/>
    </xf>
    <xf numFmtId="38" fontId="2" fillId="10" borderId="14" xfId="1" applyFont="1" applyFill="1" applyBorder="1" applyAlignment="1">
      <alignment vertical="center"/>
    </xf>
    <xf numFmtId="38" fontId="2" fillId="0" borderId="14" xfId="1" applyFont="1" applyBorder="1" applyAlignment="1">
      <alignment vertical="center"/>
    </xf>
    <xf numFmtId="38" fontId="2" fillId="2" borderId="17" xfId="1" applyFont="1" applyFill="1" applyBorder="1" applyAlignment="1">
      <alignment vertical="center" shrinkToFit="1"/>
    </xf>
    <xf numFmtId="38" fontId="2" fillId="12" borderId="30" xfId="1" applyFont="1" applyFill="1" applyBorder="1" applyAlignment="1">
      <alignment vertical="center" shrinkToFit="1"/>
    </xf>
    <xf numFmtId="38" fontId="14" fillId="12" borderId="18" xfId="1" applyFont="1" applyFill="1" applyBorder="1" applyAlignment="1">
      <alignment vertical="center"/>
    </xf>
    <xf numFmtId="38" fontId="2" fillId="2" borderId="18" xfId="1" applyFont="1" applyFill="1" applyBorder="1" applyAlignment="1">
      <alignment vertical="center"/>
    </xf>
    <xf numFmtId="38" fontId="2" fillId="2" borderId="47" xfId="1" applyFont="1" applyFill="1" applyBorder="1" applyAlignment="1">
      <alignment vertical="center"/>
    </xf>
    <xf numFmtId="38" fontId="2" fillId="2" borderId="48" xfId="1" applyFont="1" applyFill="1" applyBorder="1" applyAlignment="1">
      <alignment vertical="center"/>
    </xf>
    <xf numFmtId="38" fontId="2" fillId="2" borderId="27" xfId="1" applyFont="1" applyFill="1" applyBorder="1" applyAlignment="1">
      <alignment vertical="center" shrinkToFit="1"/>
    </xf>
    <xf numFmtId="38" fontId="14" fillId="12" borderId="6" xfId="1" applyFont="1" applyFill="1" applyBorder="1" applyAlignment="1">
      <alignment vertical="center"/>
    </xf>
    <xf numFmtId="38" fontId="2" fillId="2" borderId="6" xfId="1" applyFont="1" applyFill="1" applyBorder="1" applyAlignment="1">
      <alignment vertical="center"/>
    </xf>
    <xf numFmtId="38" fontId="2" fillId="2" borderId="45" xfId="1" applyFont="1" applyFill="1" applyBorder="1" applyAlignment="1">
      <alignment vertical="center"/>
    </xf>
    <xf numFmtId="38" fontId="2" fillId="2" borderId="46" xfId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38" fontId="2" fillId="14" borderId="47" xfId="1" applyFont="1" applyFill="1" applyBorder="1" applyAlignment="1">
      <alignment vertical="center" shrinkToFit="1"/>
    </xf>
    <xf numFmtId="9" fontId="2" fillId="10" borderId="47" xfId="4" applyNumberFormat="1" applyFont="1" applyFill="1" applyBorder="1" applyAlignment="1">
      <alignment vertical="center"/>
    </xf>
    <xf numFmtId="38" fontId="2" fillId="14" borderId="18" xfId="1" applyFont="1" applyFill="1" applyBorder="1" applyAlignment="1">
      <alignment vertical="center" shrinkToFit="1"/>
    </xf>
    <xf numFmtId="38" fontId="0" fillId="0" borderId="0" xfId="5" applyFont="1" applyAlignment="1">
      <alignment vertical="center"/>
    </xf>
    <xf numFmtId="38" fontId="0" fillId="0" borderId="3" xfId="5" applyFont="1" applyBorder="1" applyAlignment="1">
      <alignment vertical="center"/>
    </xf>
    <xf numFmtId="38" fontId="0" fillId="0" borderId="53" xfId="5" applyFont="1" applyBorder="1" applyAlignment="1">
      <alignment vertical="center"/>
    </xf>
    <xf numFmtId="38" fontId="0" fillId="0" borderId="52" xfId="5" applyFont="1" applyBorder="1" applyAlignment="1">
      <alignment vertical="center"/>
    </xf>
    <xf numFmtId="38" fontId="0" fillId="0" borderId="0" xfId="5" applyFont="1" applyAlignment="1">
      <alignment horizontal="left" vertical="center"/>
    </xf>
    <xf numFmtId="38" fontId="0" fillId="0" borderId="0" xfId="5" applyFont="1" applyBorder="1" applyAlignment="1">
      <alignment horizontal="left" vertical="center"/>
    </xf>
    <xf numFmtId="38" fontId="0" fillId="0" borderId="0" xfId="5" applyFont="1" applyBorder="1" applyAlignment="1">
      <alignment vertical="center"/>
    </xf>
    <xf numFmtId="38" fontId="0" fillId="0" borderId="0" xfId="5" applyFont="1" applyBorder="1" applyAlignment="1">
      <alignment horizontal="center" vertical="center"/>
    </xf>
    <xf numFmtId="38" fontId="0" fillId="0" borderId="0" xfId="5" applyFont="1" applyFill="1" applyAlignment="1">
      <alignment vertical="center"/>
    </xf>
    <xf numFmtId="38" fontId="0" fillId="0" borderId="0" xfId="5" applyFont="1" applyFill="1" applyAlignment="1">
      <alignment horizontal="left" vertical="center"/>
    </xf>
    <xf numFmtId="38" fontId="0" fillId="0" borderId="0" xfId="5" applyFont="1" applyFill="1" applyAlignment="1">
      <alignment horizontal="right" vertical="center"/>
    </xf>
    <xf numFmtId="38" fontId="16" fillId="0" borderId="0" xfId="5" applyFont="1" applyBorder="1" applyAlignment="1">
      <alignment vertical="center"/>
    </xf>
    <xf numFmtId="38" fontId="17" fillId="0" borderId="0" xfId="5" applyFont="1" applyBorder="1" applyAlignment="1">
      <alignment vertical="center"/>
    </xf>
    <xf numFmtId="38" fontId="18" fillId="0" borderId="56" xfId="5" applyFont="1" applyFill="1" applyBorder="1" applyAlignment="1">
      <alignment vertical="center"/>
    </xf>
    <xf numFmtId="38" fontId="18" fillId="0" borderId="57" xfId="5" applyFont="1" applyFill="1" applyBorder="1" applyAlignment="1">
      <alignment horizontal="left" vertical="center"/>
    </xf>
    <xf numFmtId="38" fontId="20" fillId="0" borderId="0" xfId="5" applyFont="1" applyBorder="1" applyAlignment="1">
      <alignment horizontal="left" vertical="center"/>
    </xf>
    <xf numFmtId="38" fontId="18" fillId="0" borderId="0" xfId="5" applyFont="1" applyFill="1" applyAlignment="1">
      <alignment horizontal="right" vertical="center"/>
    </xf>
    <xf numFmtId="38" fontId="18" fillId="0" borderId="0" xfId="5" applyFont="1" applyFill="1" applyAlignment="1">
      <alignment vertical="center"/>
    </xf>
    <xf numFmtId="38" fontId="18" fillId="0" borderId="0" xfId="5" applyFont="1" applyFill="1" applyAlignment="1">
      <alignment horizontal="left" vertical="center"/>
    </xf>
    <xf numFmtId="38" fontId="21" fillId="0" borderId="0" xfId="5" applyFont="1" applyBorder="1" applyAlignment="1">
      <alignment horizontal="left" vertical="center"/>
    </xf>
    <xf numFmtId="38" fontId="0" fillId="0" borderId="3" xfId="5" applyFont="1" applyBorder="1" applyAlignment="1">
      <alignment horizontal="left" vertical="center"/>
    </xf>
    <xf numFmtId="38" fontId="0" fillId="0" borderId="3" xfId="5" applyFont="1" applyBorder="1" applyAlignment="1">
      <alignment horizontal="left" vertical="center" shrinkToFit="1"/>
    </xf>
    <xf numFmtId="38" fontId="0" fillId="4" borderId="10" xfId="5" applyFont="1" applyFill="1" applyBorder="1" applyAlignment="1" applyProtection="1">
      <alignment vertical="center"/>
      <protection locked="0"/>
    </xf>
    <xf numFmtId="38" fontId="0" fillId="4" borderId="4" xfId="5" applyFont="1" applyFill="1" applyBorder="1" applyAlignment="1" applyProtection="1">
      <alignment vertical="center"/>
      <protection locked="0"/>
    </xf>
    <xf numFmtId="38" fontId="2" fillId="0" borderId="18" xfId="1" applyFont="1" applyFill="1" applyBorder="1" applyAlignment="1">
      <alignment vertical="center" shrinkToFit="1"/>
    </xf>
    <xf numFmtId="38" fontId="2" fillId="0" borderId="6" xfId="1" applyFont="1" applyFill="1" applyBorder="1" applyAlignment="1">
      <alignment vertical="center" shrinkToFit="1"/>
    </xf>
    <xf numFmtId="38" fontId="2" fillId="0" borderId="18" xfId="1" applyFont="1" applyFill="1" applyBorder="1" applyAlignment="1">
      <alignment vertical="center"/>
    </xf>
    <xf numFmtId="38" fontId="2" fillId="0" borderId="6" xfId="1" applyFont="1" applyFill="1" applyBorder="1" applyAlignment="1">
      <alignment vertical="center"/>
    </xf>
    <xf numFmtId="38" fontId="2" fillId="0" borderId="45" xfId="1" applyFont="1" applyFill="1" applyBorder="1" applyAlignment="1">
      <alignment vertical="center"/>
    </xf>
    <xf numFmtId="38" fontId="2" fillId="0" borderId="46" xfId="1" applyFont="1" applyFill="1" applyBorder="1" applyAlignment="1">
      <alignment vertical="center"/>
    </xf>
    <xf numFmtId="0" fontId="2" fillId="10" borderId="0" xfId="1" applyNumberFormat="1" applyFont="1" applyFill="1" applyBorder="1" applyAlignment="1">
      <alignment vertical="center"/>
    </xf>
    <xf numFmtId="0" fontId="2" fillId="0" borderId="0" xfId="1" applyNumberFormat="1" applyFont="1" applyAlignment="1">
      <alignment vertical="center"/>
    </xf>
    <xf numFmtId="0" fontId="23" fillId="16" borderId="43" xfId="1" applyNumberFormat="1" applyFont="1" applyFill="1" applyBorder="1" applyAlignment="1">
      <alignment vertical="center"/>
    </xf>
    <xf numFmtId="38" fontId="23" fillId="16" borderId="43" xfId="1" applyFont="1" applyFill="1" applyBorder="1" applyAlignment="1">
      <alignment vertical="center"/>
    </xf>
    <xf numFmtId="38" fontId="2" fillId="0" borderId="15" xfId="1" applyFont="1" applyBorder="1" applyAlignment="1">
      <alignment vertical="center" shrinkToFit="1"/>
    </xf>
    <xf numFmtId="38" fontId="2" fillId="0" borderId="32" xfId="1" applyFont="1" applyBorder="1" applyAlignment="1">
      <alignment vertical="center" shrinkToFit="1"/>
    </xf>
    <xf numFmtId="38" fontId="2" fillId="0" borderId="6" xfId="1" applyFont="1" applyBorder="1" applyAlignment="1">
      <alignment vertical="center" shrinkToFit="1"/>
    </xf>
    <xf numFmtId="38" fontId="2" fillId="0" borderId="1" xfId="1" applyFont="1" applyFill="1" applyBorder="1" applyAlignment="1">
      <alignment vertical="center"/>
    </xf>
    <xf numFmtId="38" fontId="2" fillId="16" borderId="14" xfId="1" applyFont="1" applyFill="1" applyBorder="1" applyAlignment="1">
      <alignment vertical="center" shrinkToFit="1"/>
    </xf>
    <xf numFmtId="40" fontId="2" fillId="16" borderId="43" xfId="1" applyNumberFormat="1" applyFont="1" applyFill="1" applyBorder="1" applyAlignment="1">
      <alignment vertical="center" shrinkToFit="1"/>
    </xf>
    <xf numFmtId="38" fontId="2" fillId="16" borderId="43" xfId="1" applyFont="1" applyFill="1" applyBorder="1" applyAlignment="1">
      <alignment vertical="center"/>
    </xf>
    <xf numFmtId="38" fontId="2" fillId="16" borderId="43" xfId="1" applyFont="1" applyFill="1" applyBorder="1" applyAlignment="1">
      <alignment vertical="center" shrinkToFit="1"/>
    </xf>
    <xf numFmtId="38" fontId="25" fillId="16" borderId="3" xfId="1" applyFont="1" applyFill="1" applyBorder="1" applyAlignment="1">
      <alignment vertical="center"/>
    </xf>
    <xf numFmtId="38" fontId="26" fillId="4" borderId="15" xfId="1" applyFont="1" applyFill="1" applyBorder="1" applyAlignment="1">
      <alignment vertical="center"/>
    </xf>
    <xf numFmtId="38" fontId="27" fillId="0" borderId="51" xfId="1" applyFont="1" applyBorder="1" applyAlignment="1">
      <alignment vertical="center"/>
    </xf>
    <xf numFmtId="38" fontId="27" fillId="0" borderId="1" xfId="1" applyFont="1" applyBorder="1" applyAlignment="1">
      <alignment vertical="center"/>
    </xf>
    <xf numFmtId="38" fontId="27" fillId="6" borderId="1" xfId="1" applyFont="1" applyFill="1" applyBorder="1" applyAlignment="1">
      <alignment vertical="center"/>
    </xf>
    <xf numFmtId="38" fontId="27" fillId="6" borderId="1" xfId="1" applyFont="1" applyFill="1" applyBorder="1" applyAlignment="1">
      <alignment horizontal="center" vertical="center"/>
    </xf>
    <xf numFmtId="38" fontId="27" fillId="4" borderId="1" xfId="1" applyFont="1" applyFill="1" applyBorder="1" applyAlignment="1">
      <alignment vertical="center"/>
    </xf>
    <xf numFmtId="38" fontId="27" fillId="0" borderId="1" xfId="1" applyFont="1" applyBorder="1" applyAlignment="1">
      <alignment vertical="center" shrinkToFit="1"/>
    </xf>
    <xf numFmtId="38" fontId="27" fillId="4" borderId="1" xfId="1" applyFont="1" applyFill="1" applyBorder="1" applyAlignment="1">
      <alignment vertical="center" shrinkToFit="1"/>
    </xf>
    <xf numFmtId="38" fontId="27" fillId="8" borderId="1" xfId="1" applyFont="1" applyFill="1" applyBorder="1" applyAlignment="1">
      <alignment horizontal="center" vertical="center" shrinkToFit="1"/>
    </xf>
    <xf numFmtId="38" fontId="27" fillId="8" borderId="1" xfId="1" applyFont="1" applyFill="1" applyBorder="1" applyAlignment="1">
      <alignment horizontal="right" vertical="center" shrinkToFit="1"/>
    </xf>
    <xf numFmtId="38" fontId="27" fillId="4" borderId="21" xfId="1" applyFont="1" applyFill="1" applyBorder="1" applyAlignment="1">
      <alignment vertical="center" shrinkToFit="1"/>
    </xf>
    <xf numFmtId="38" fontId="27" fillId="14" borderId="1" xfId="1" applyFont="1" applyFill="1" applyBorder="1" applyAlignment="1">
      <alignment vertical="center" shrinkToFit="1"/>
    </xf>
    <xf numFmtId="38" fontId="27" fillId="11" borderId="1" xfId="1" applyFont="1" applyFill="1" applyBorder="1" applyAlignment="1">
      <alignment vertical="center" shrinkToFit="1"/>
    </xf>
    <xf numFmtId="40" fontId="27" fillId="11" borderId="1" xfId="1" applyNumberFormat="1" applyFont="1" applyFill="1" applyBorder="1" applyAlignment="1">
      <alignment vertical="center" shrinkToFit="1"/>
    </xf>
    <xf numFmtId="38" fontId="27" fillId="2" borderId="15" xfId="1" applyFont="1" applyFill="1" applyBorder="1" applyAlignment="1">
      <alignment vertical="center" shrinkToFit="1"/>
    </xf>
    <xf numFmtId="38" fontId="27" fillId="2" borderId="1" xfId="1" applyFont="1" applyFill="1" applyBorder="1" applyAlignment="1">
      <alignment vertical="center" shrinkToFit="1"/>
    </xf>
    <xf numFmtId="38" fontId="27" fillId="0" borderId="21" xfId="1" applyFont="1" applyFill="1" applyBorder="1" applyAlignment="1">
      <alignment vertical="center"/>
    </xf>
    <xf numFmtId="38" fontId="27" fillId="0" borderId="0" xfId="1" applyFont="1" applyAlignment="1">
      <alignment vertical="center"/>
    </xf>
    <xf numFmtId="38" fontId="27" fillId="10" borderId="1" xfId="1" applyFont="1" applyFill="1" applyBorder="1" applyAlignment="1">
      <alignment vertical="center"/>
    </xf>
    <xf numFmtId="38" fontId="27" fillId="13" borderId="19" xfId="1" applyFont="1" applyFill="1" applyBorder="1" applyAlignment="1">
      <alignment vertical="center"/>
    </xf>
    <xf numFmtId="38" fontId="27" fillId="2" borderId="15" xfId="1" applyFont="1" applyFill="1" applyBorder="1" applyAlignment="1">
      <alignment vertical="center"/>
    </xf>
    <xf numFmtId="38" fontId="27" fillId="2" borderId="21" xfId="1" applyFont="1" applyFill="1" applyBorder="1" applyAlignment="1">
      <alignment vertical="center"/>
    </xf>
    <xf numFmtId="38" fontId="27" fillId="0" borderId="0" xfId="1" applyFont="1" applyBorder="1" applyAlignment="1">
      <alignment vertical="center"/>
    </xf>
    <xf numFmtId="38" fontId="2" fillId="16" borderId="44" xfId="1" applyFont="1" applyFill="1" applyBorder="1" applyAlignment="1">
      <alignment vertical="center"/>
    </xf>
    <xf numFmtId="0" fontId="23" fillId="16" borderId="44" xfId="1" applyNumberFormat="1" applyFont="1" applyFill="1" applyBorder="1" applyAlignment="1">
      <alignment vertical="center"/>
    </xf>
    <xf numFmtId="38" fontId="23" fillId="16" borderId="0" xfId="1" applyFont="1" applyFill="1" applyBorder="1" applyAlignment="1">
      <alignment vertical="center"/>
    </xf>
    <xf numFmtId="38" fontId="2" fillId="16" borderId="0" xfId="1" applyFont="1" applyFill="1" applyBorder="1" applyAlignment="1">
      <alignment vertical="center"/>
    </xf>
    <xf numFmtId="0" fontId="23" fillId="16" borderId="0" xfId="1" applyNumberFormat="1" applyFont="1" applyFill="1" applyBorder="1" applyAlignment="1">
      <alignment vertical="center"/>
    </xf>
    <xf numFmtId="9" fontId="2" fillId="10" borderId="48" xfId="4" applyNumberFormat="1" applyFont="1" applyFill="1" applyBorder="1" applyAlignment="1">
      <alignment vertical="center"/>
    </xf>
    <xf numFmtId="9" fontId="2" fillId="10" borderId="18" xfId="4" applyNumberFormat="1" applyFont="1" applyFill="1" applyBorder="1" applyAlignment="1">
      <alignment vertical="center"/>
    </xf>
    <xf numFmtId="38" fontId="2" fillId="16" borderId="0" xfId="1" applyFont="1" applyFill="1" applyBorder="1" applyAlignment="1">
      <alignment vertical="center" shrinkToFit="1"/>
    </xf>
    <xf numFmtId="40" fontId="2" fillId="16" borderId="0" xfId="1" applyNumberFormat="1" applyFont="1" applyFill="1" applyBorder="1" applyAlignment="1">
      <alignment vertical="center" shrinkToFit="1"/>
    </xf>
    <xf numFmtId="38" fontId="2" fillId="14" borderId="48" xfId="1" applyFont="1" applyFill="1" applyBorder="1" applyAlignment="1">
      <alignment vertical="center" shrinkToFit="1"/>
    </xf>
    <xf numFmtId="38" fontId="2" fillId="0" borderId="44" xfId="1" applyFont="1" applyFill="1" applyBorder="1" applyAlignment="1">
      <alignment vertical="center" shrinkToFit="1"/>
    </xf>
    <xf numFmtId="38" fontId="2" fillId="16" borderId="44" xfId="1" applyFont="1" applyFill="1" applyBorder="1" applyAlignment="1">
      <alignment vertical="center" shrinkToFit="1"/>
    </xf>
    <xf numFmtId="38" fontId="2" fillId="15" borderId="44" xfId="1" applyFont="1" applyFill="1" applyBorder="1" applyAlignment="1">
      <alignment vertical="center" shrinkToFit="1"/>
    </xf>
    <xf numFmtId="40" fontId="2" fillId="16" borderId="44" xfId="1" applyNumberFormat="1" applyFont="1" applyFill="1" applyBorder="1" applyAlignment="1">
      <alignment vertical="center" shrinkToFit="1"/>
    </xf>
    <xf numFmtId="38" fontId="2" fillId="11" borderId="46" xfId="1" applyFont="1" applyFill="1" applyBorder="1" applyAlignment="1">
      <alignment vertical="center" shrinkToFit="1"/>
    </xf>
    <xf numFmtId="38" fontId="2" fillId="0" borderId="46" xfId="1" applyFont="1" applyBorder="1" applyAlignment="1">
      <alignment vertical="center"/>
    </xf>
    <xf numFmtId="38" fontId="0" fillId="0" borderId="60" xfId="1" applyFont="1" applyFill="1" applyBorder="1" applyAlignment="1">
      <alignment vertical="center" shrinkToFit="1"/>
    </xf>
    <xf numFmtId="38" fontId="0" fillId="15" borderId="60" xfId="1" applyFont="1" applyFill="1" applyBorder="1" applyAlignment="1">
      <alignment vertical="center" shrinkToFit="1"/>
    </xf>
    <xf numFmtId="38" fontId="0" fillId="11" borderId="60" xfId="1" applyFont="1" applyFill="1" applyBorder="1" applyAlignment="1">
      <alignment vertical="center" shrinkToFit="1"/>
    </xf>
    <xf numFmtId="38" fontId="0" fillId="0" borderId="61" xfId="1" applyFont="1" applyFill="1" applyBorder="1" applyAlignment="1">
      <alignment vertical="center" shrinkToFit="1"/>
    </xf>
    <xf numFmtId="38" fontId="0" fillId="0" borderId="62" xfId="1" applyFont="1" applyFill="1" applyBorder="1" applyAlignment="1">
      <alignment vertical="center" shrinkToFit="1"/>
    </xf>
    <xf numFmtId="38" fontId="0" fillId="2" borderId="61" xfId="1" applyFont="1" applyFill="1" applyBorder="1" applyAlignment="1">
      <alignment horizontal="right" vertical="center" shrinkToFit="1"/>
    </xf>
    <xf numFmtId="38" fontId="0" fillId="2" borderId="60" xfId="1" applyFont="1" applyFill="1" applyBorder="1" applyAlignment="1">
      <alignment horizontal="right" vertical="center" shrinkToFit="1"/>
    </xf>
    <xf numFmtId="38" fontId="0" fillId="9" borderId="61" xfId="1" applyFont="1" applyFill="1" applyBorder="1" applyAlignment="1">
      <alignment horizontal="right" vertical="center" shrinkToFit="1"/>
    </xf>
    <xf numFmtId="38" fontId="0" fillId="9" borderId="60" xfId="1" applyFont="1" applyFill="1" applyBorder="1" applyAlignment="1">
      <alignment horizontal="right" vertical="center" shrinkToFit="1"/>
    </xf>
    <xf numFmtId="38" fontId="0" fillId="9" borderId="62" xfId="1" applyFont="1" applyFill="1" applyBorder="1" applyAlignment="1">
      <alignment horizontal="right" vertical="center" shrinkToFit="1"/>
    </xf>
    <xf numFmtId="38" fontId="0" fillId="10" borderId="44" xfId="1" applyFont="1" applyFill="1" applyBorder="1" applyAlignment="1">
      <alignment horizontal="right" vertical="center" shrinkToFit="1"/>
    </xf>
    <xf numFmtId="38" fontId="2" fillId="0" borderId="61" xfId="1" applyFont="1" applyBorder="1" applyAlignment="1">
      <alignment vertical="center" shrinkToFit="1"/>
    </xf>
    <xf numFmtId="38" fontId="2" fillId="0" borderId="60" xfId="1" applyFont="1" applyBorder="1" applyAlignment="1">
      <alignment vertical="center" shrinkToFit="1"/>
    </xf>
    <xf numFmtId="38" fontId="2" fillId="16" borderId="60" xfId="1" applyFont="1" applyFill="1" applyBorder="1" applyAlignment="1">
      <alignment vertical="center" shrinkToFit="1"/>
    </xf>
    <xf numFmtId="0" fontId="24" fillId="16" borderId="60" xfId="1" applyNumberFormat="1" applyFont="1" applyFill="1" applyBorder="1" applyAlignment="1">
      <alignment vertical="center" shrinkToFit="1"/>
    </xf>
    <xf numFmtId="38" fontId="2" fillId="10" borderId="60" xfId="1" applyFont="1" applyFill="1" applyBorder="1" applyAlignment="1">
      <alignment vertical="center" shrinkToFit="1"/>
    </xf>
    <xf numFmtId="0" fontId="27" fillId="10" borderId="1" xfId="1" applyNumberFormat="1" applyFont="1" applyFill="1" applyBorder="1" applyAlignment="1">
      <alignment vertical="center"/>
    </xf>
    <xf numFmtId="38" fontId="27" fillId="0" borderId="1" xfId="1" applyFont="1" applyFill="1" applyBorder="1" applyAlignment="1">
      <alignment vertical="center"/>
    </xf>
    <xf numFmtId="38" fontId="2" fillId="0" borderId="48" xfId="1" applyFont="1" applyFill="1" applyBorder="1" applyAlignment="1">
      <alignment vertical="center" shrinkToFit="1"/>
    </xf>
    <xf numFmtId="38" fontId="2" fillId="0" borderId="46" xfId="1" applyFont="1" applyFill="1" applyBorder="1" applyAlignment="1">
      <alignment vertical="center" shrinkToFit="1"/>
    </xf>
    <xf numFmtId="38" fontId="2" fillId="0" borderId="48" xfId="1" applyFont="1" applyFill="1" applyBorder="1" applyAlignment="1">
      <alignment vertical="center"/>
    </xf>
    <xf numFmtId="38" fontId="23" fillId="16" borderId="44" xfId="1" applyFont="1" applyFill="1" applyBorder="1" applyAlignment="1">
      <alignment vertical="center"/>
    </xf>
    <xf numFmtId="38" fontId="27" fillId="0" borderId="43" xfId="1" applyFont="1" applyBorder="1" applyAlignment="1">
      <alignment vertical="center"/>
    </xf>
    <xf numFmtId="177" fontId="2" fillId="0" borderId="1" xfId="1" applyNumberFormat="1" applyFont="1" applyBorder="1" applyAlignment="1">
      <alignment vertical="center" shrinkToFit="1"/>
    </xf>
    <xf numFmtId="177" fontId="2" fillId="16" borderId="1" xfId="1" applyNumberFormat="1" applyFont="1" applyFill="1" applyBorder="1" applyAlignment="1">
      <alignment vertical="center" shrinkToFit="1"/>
    </xf>
    <xf numFmtId="178" fontId="2" fillId="0" borderId="1" xfId="1" applyNumberFormat="1" applyFont="1" applyBorder="1" applyAlignment="1">
      <alignment vertical="center" shrinkToFit="1"/>
    </xf>
    <xf numFmtId="178" fontId="2" fillId="16" borderId="1" xfId="1" applyNumberFormat="1" applyFont="1" applyFill="1" applyBorder="1" applyAlignment="1">
      <alignment vertical="center" shrinkToFit="1"/>
    </xf>
    <xf numFmtId="38" fontId="14" fillId="0" borderId="20" xfId="1" applyFont="1" applyBorder="1" applyAlignment="1">
      <alignment vertical="center" shrinkToFit="1"/>
    </xf>
    <xf numFmtId="38" fontId="25" fillId="4" borderId="14" xfId="1" applyFont="1" applyFill="1" applyBorder="1" applyAlignment="1">
      <alignment vertical="center" shrinkToFit="1"/>
    </xf>
    <xf numFmtId="38" fontId="25" fillId="4" borderId="1" xfId="1" applyFont="1" applyFill="1" applyBorder="1" applyAlignment="1">
      <alignment vertical="center" shrinkToFit="1"/>
    </xf>
    <xf numFmtId="38" fontId="14" fillId="0" borderId="0" xfId="1" applyFont="1" applyBorder="1" applyAlignment="1">
      <alignment shrinkToFit="1"/>
    </xf>
    <xf numFmtId="38" fontId="14" fillId="0" borderId="60" xfId="1" applyFont="1" applyBorder="1" applyAlignment="1">
      <alignment vertical="center" shrinkToFit="1"/>
    </xf>
    <xf numFmtId="38" fontId="14" fillId="0" borderId="44" xfId="1" applyFont="1" applyBorder="1" applyAlignment="1">
      <alignment shrinkToFit="1"/>
    </xf>
    <xf numFmtId="38" fontId="27" fillId="0" borderId="63" xfId="1" applyFont="1" applyFill="1" applyBorder="1" applyAlignment="1">
      <alignment vertical="center"/>
    </xf>
    <xf numFmtId="38" fontId="27" fillId="0" borderId="51" xfId="1" applyFont="1" applyFill="1" applyBorder="1" applyAlignment="1">
      <alignment vertical="center"/>
    </xf>
    <xf numFmtId="38" fontId="27" fillId="0" borderId="63" xfId="1" applyFont="1" applyFill="1" applyBorder="1" applyAlignment="1">
      <alignment vertical="center" shrinkToFit="1"/>
    </xf>
    <xf numFmtId="38" fontId="27" fillId="0" borderId="64" xfId="1" applyFont="1" applyFill="1" applyBorder="1" applyAlignment="1">
      <alignment vertical="center" shrinkToFit="1"/>
    </xf>
    <xf numFmtId="40" fontId="2" fillId="15" borderId="57" xfId="1" applyNumberFormat="1" applyFont="1" applyFill="1" applyBorder="1" applyAlignment="1">
      <alignment horizontal="right" vertical="center"/>
    </xf>
    <xf numFmtId="38" fontId="27" fillId="0" borderId="51" xfId="1" applyFont="1" applyFill="1" applyBorder="1" applyAlignment="1">
      <alignment vertical="center" shrinkToFit="1"/>
    </xf>
    <xf numFmtId="38" fontId="27" fillId="15" borderId="51" xfId="1" applyFont="1" applyFill="1" applyBorder="1" applyAlignment="1">
      <alignment vertical="center" shrinkToFit="1"/>
    </xf>
    <xf numFmtId="38" fontId="27" fillId="10" borderId="63" xfId="1" applyFont="1" applyFill="1" applyBorder="1" applyAlignment="1">
      <alignment vertical="center"/>
    </xf>
    <xf numFmtId="38" fontId="27" fillId="0" borderId="63" xfId="1" applyFont="1" applyBorder="1" applyAlignment="1">
      <alignment vertical="center"/>
    </xf>
    <xf numFmtId="38" fontId="14" fillId="12" borderId="0" xfId="1" applyFont="1" applyFill="1" applyBorder="1" applyAlignment="1">
      <alignment horizontal="right" vertical="center"/>
    </xf>
    <xf numFmtId="38" fontId="14" fillId="0" borderId="44" xfId="1" applyFont="1" applyFill="1" applyBorder="1" applyAlignment="1">
      <alignment horizontal="right" vertical="center"/>
    </xf>
    <xf numFmtId="38" fontId="14" fillId="0" borderId="0" xfId="1" applyFont="1" applyFill="1" applyBorder="1" applyAlignment="1">
      <alignment horizontal="right" vertical="center"/>
    </xf>
    <xf numFmtId="38" fontId="14" fillId="0" borderId="0" xfId="1" applyFont="1" applyBorder="1" applyAlignment="1">
      <alignment horizontal="right" vertical="center"/>
    </xf>
    <xf numFmtId="38" fontId="28" fillId="0" borderId="51" xfId="1" applyFont="1" applyFill="1" applyBorder="1" applyAlignment="1">
      <alignment horizontal="right" vertical="center"/>
    </xf>
    <xf numFmtId="38" fontId="28" fillId="0" borderId="0" xfId="1" applyFont="1" applyBorder="1" applyAlignment="1">
      <alignment shrinkToFit="1"/>
    </xf>
    <xf numFmtId="38" fontId="0" fillId="0" borderId="33" xfId="5" applyFont="1" applyBorder="1" applyAlignment="1">
      <alignment horizontal="left" vertical="center"/>
    </xf>
    <xf numFmtId="38" fontId="2" fillId="0" borderId="3" xfId="1" applyFont="1" applyBorder="1" applyAlignment="1">
      <alignment horizontal="center" vertical="center" shrinkToFit="1"/>
    </xf>
    <xf numFmtId="38" fontId="0" fillId="0" borderId="32" xfId="1" applyFont="1" applyFill="1" applyBorder="1" applyAlignment="1">
      <alignment horizontal="center" vertical="center"/>
    </xf>
    <xf numFmtId="38" fontId="2" fillId="0" borderId="15" xfId="1" applyFont="1" applyFill="1" applyBorder="1" applyAlignment="1">
      <alignment horizontal="center" vertical="center"/>
    </xf>
    <xf numFmtId="38" fontId="0" fillId="0" borderId="32" xfId="1" applyFont="1" applyFill="1" applyBorder="1" applyAlignment="1">
      <alignment horizontal="center" vertical="center" shrinkToFit="1"/>
    </xf>
    <xf numFmtId="38" fontId="0" fillId="0" borderId="15" xfId="1" applyFont="1" applyFill="1" applyBorder="1" applyAlignment="1">
      <alignment horizontal="center" vertical="center" shrinkToFit="1"/>
    </xf>
    <xf numFmtId="38" fontId="2" fillId="3" borderId="9" xfId="1" applyFont="1" applyFill="1" applyBorder="1" applyAlignment="1">
      <alignment horizontal="center" vertical="center" shrinkToFit="1"/>
    </xf>
    <xf numFmtId="38" fontId="2" fillId="3" borderId="2" xfId="1" applyFont="1" applyFill="1" applyBorder="1" applyAlignment="1">
      <alignment horizontal="center" vertical="center" shrinkToFit="1"/>
    </xf>
    <xf numFmtId="38" fontId="2" fillId="0" borderId="3" xfId="1" applyFont="1" applyBorder="1" applyAlignment="1">
      <alignment horizontal="center" vertical="center"/>
    </xf>
    <xf numFmtId="38" fontId="0" fillId="0" borderId="35" xfId="1" applyFont="1" applyBorder="1" applyAlignment="1">
      <alignment vertical="center"/>
    </xf>
    <xf numFmtId="38" fontId="0" fillId="0" borderId="33" xfId="1" applyFont="1" applyBorder="1" applyAlignment="1">
      <alignment vertical="center"/>
    </xf>
    <xf numFmtId="38" fontId="9" fillId="0" borderId="0" xfId="1" applyFont="1" applyAlignment="1">
      <alignment horizontal="center" vertical="center"/>
    </xf>
    <xf numFmtId="38" fontId="0" fillId="0" borderId="35" xfId="1" applyFont="1" applyBorder="1" applyAlignment="1">
      <alignment horizontal="left" vertical="center"/>
    </xf>
    <xf numFmtId="38" fontId="0" fillId="0" borderId="33" xfId="1" applyFont="1" applyBorder="1" applyAlignment="1">
      <alignment horizontal="left" vertical="center"/>
    </xf>
    <xf numFmtId="38" fontId="0" fillId="0" borderId="36" xfId="1" applyFont="1" applyBorder="1" applyAlignment="1">
      <alignment horizontal="left" vertical="center"/>
    </xf>
    <xf numFmtId="38" fontId="0" fillId="0" borderId="37" xfId="1" applyFont="1" applyBorder="1" applyAlignment="1">
      <alignment horizontal="left" vertical="center"/>
    </xf>
    <xf numFmtId="38" fontId="3" fillId="0" borderId="0" xfId="1" applyFont="1" applyAlignment="1">
      <alignment horizontal="left" vertical="center"/>
    </xf>
    <xf numFmtId="38" fontId="2" fillId="0" borderId="9" xfId="1" applyFont="1" applyBorder="1" applyAlignment="1">
      <alignment horizontal="left" vertical="center"/>
    </xf>
    <xf numFmtId="38" fontId="2" fillId="0" borderId="34" xfId="1" applyFont="1" applyBorder="1" applyAlignment="1">
      <alignment horizontal="left" vertical="center"/>
    </xf>
    <xf numFmtId="38" fontId="6" fillId="0" borderId="0" xfId="1" applyFont="1" applyAlignment="1">
      <alignment horizontal="center" vertical="center"/>
    </xf>
    <xf numFmtId="38" fontId="2" fillId="0" borderId="35" xfId="1" applyFont="1" applyBorder="1" applyAlignment="1">
      <alignment vertical="center"/>
    </xf>
    <xf numFmtId="38" fontId="2" fillId="0" borderId="33" xfId="1" applyFont="1" applyBorder="1" applyAlignment="1">
      <alignment vertical="center"/>
    </xf>
    <xf numFmtId="38" fontId="18" fillId="0" borderId="54" xfId="5" applyFont="1" applyFill="1" applyBorder="1" applyAlignment="1">
      <alignment horizontal="center" vertical="center"/>
    </xf>
    <xf numFmtId="38" fontId="18" fillId="0" borderId="55" xfId="5" applyFont="1" applyFill="1" applyBorder="1" applyAlignment="1">
      <alignment horizontal="center" vertical="center"/>
    </xf>
    <xf numFmtId="38" fontId="22" fillId="0" borderId="0" xfId="5" applyFont="1" applyAlignment="1">
      <alignment horizontal="center" vertical="center"/>
    </xf>
    <xf numFmtId="38" fontId="19" fillId="0" borderId="10" xfId="5" applyFont="1" applyBorder="1" applyAlignment="1">
      <alignment horizontal="center" vertical="center"/>
    </xf>
    <xf numFmtId="38" fontId="19" fillId="0" borderId="4" xfId="5" applyFont="1" applyBorder="1" applyAlignment="1">
      <alignment horizontal="center" vertical="center"/>
    </xf>
    <xf numFmtId="38" fontId="19" fillId="0" borderId="33" xfId="5" applyFont="1" applyBorder="1" applyAlignment="1">
      <alignment horizontal="center" vertical="center"/>
    </xf>
    <xf numFmtId="38" fontId="0" fillId="0" borderId="10" xfId="5" applyFont="1" applyBorder="1" applyAlignment="1">
      <alignment horizontal="left" vertical="center"/>
    </xf>
    <xf numFmtId="38" fontId="0" fillId="0" borderId="33" xfId="5" applyFont="1" applyBorder="1" applyAlignment="1">
      <alignment horizontal="left" vertical="center"/>
    </xf>
    <xf numFmtId="38" fontId="0" fillId="0" borderId="58" xfId="5" applyFont="1" applyBorder="1" applyAlignment="1">
      <alignment horizontal="left" vertical="center"/>
    </xf>
    <xf numFmtId="38" fontId="0" fillId="0" borderId="12" xfId="5" applyFont="1" applyBorder="1" applyAlignment="1">
      <alignment horizontal="left" vertical="center"/>
    </xf>
    <xf numFmtId="38" fontId="0" fillId="0" borderId="59" xfId="5" applyFont="1" applyBorder="1" applyAlignment="1">
      <alignment horizontal="left" vertical="center"/>
    </xf>
    <xf numFmtId="38" fontId="0" fillId="0" borderId="53" xfId="5" applyFont="1" applyBorder="1" applyAlignment="1">
      <alignment horizontal="center" vertical="center"/>
    </xf>
    <xf numFmtId="38" fontId="0" fillId="0" borderId="52" xfId="5" applyFont="1" applyBorder="1" applyAlignment="1">
      <alignment horizontal="center" vertical="center"/>
    </xf>
  </cellXfs>
  <cellStyles count="6">
    <cellStyle name="パーセント" xfId="4" builtinId="5"/>
    <cellStyle name="桁区切り" xfId="5" builtinId="6"/>
    <cellStyle name="桁区切り 2" xfId="1" xr:uid="{00000000-0005-0000-0000-000002000000}"/>
    <cellStyle name="桁区切り 2 2" xfId="2" xr:uid="{00000000-0005-0000-0000-000003000000}"/>
    <cellStyle name="桁区切り 2 3" xfId="3" xr:uid="{00000000-0005-0000-0000-000004000000}"/>
    <cellStyle name="標準" xfId="0" builtinId="0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226526</xdr:colOff>
      <xdr:row>4</xdr:row>
      <xdr:rowOff>2401</xdr:rowOff>
    </xdr:from>
    <xdr:to>
      <xdr:col>3</xdr:col>
      <xdr:colOff>477858</xdr:colOff>
      <xdr:row>6</xdr:row>
      <xdr:rowOff>56830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87880" y="764401"/>
          <a:ext cx="0" cy="435429"/>
        </a:xfrm>
        <a:prstGeom prst="wedgeRoundRectCallout">
          <a:avLst>
            <a:gd name="adj1" fmla="val 22167"/>
            <a:gd name="adj2" fmla="val -80053"/>
            <a:gd name="adj3" fmla="val 16667"/>
          </a:avLst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①年度を設定</a:t>
          </a:r>
        </a:p>
      </xdr:txBody>
    </xdr:sp>
    <xdr:clientData/>
  </xdr:twoCellAnchor>
  <xdr:twoCellAnchor>
    <xdr:from>
      <xdr:col>21</xdr:col>
      <xdr:colOff>0</xdr:colOff>
      <xdr:row>4</xdr:row>
      <xdr:rowOff>16329</xdr:rowOff>
    </xdr:from>
    <xdr:to>
      <xdr:col>21</xdr:col>
      <xdr:colOff>342907</xdr:colOff>
      <xdr:row>6</xdr:row>
      <xdr:rowOff>70758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55080" y="778329"/>
          <a:ext cx="342907" cy="435429"/>
        </a:xfrm>
        <a:prstGeom prst="wedgeRoundRectCallout">
          <a:avLst>
            <a:gd name="adj1" fmla="val 76167"/>
            <a:gd name="adj2" fmla="val -45678"/>
            <a:gd name="adj3" fmla="val 16667"/>
          </a:avLst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②人数を設定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876300</xdr:colOff>
      <xdr:row>21</xdr:row>
      <xdr:rowOff>161925</xdr:rowOff>
    </xdr:from>
    <xdr:to>
      <xdr:col>3</xdr:col>
      <xdr:colOff>657225</xdr:colOff>
      <xdr:row>23</xdr:row>
      <xdr:rowOff>47625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272540" y="4970145"/>
          <a:ext cx="1533525" cy="5029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94"/>
  <sheetViews>
    <sheetView view="pageBreakPreview" topLeftCell="P1" zoomScale="80" zoomScaleNormal="100" zoomScaleSheetLayoutView="80" workbookViewId="0">
      <selection activeCell="AD19" sqref="AD19"/>
    </sheetView>
  </sheetViews>
  <sheetFormatPr defaultRowHeight="15" customHeight="1"/>
  <cols>
    <col min="1" max="1" width="30.5" style="1" customWidth="1"/>
    <col min="2" max="23" width="12.5" style="1" customWidth="1"/>
    <col min="24" max="24" width="17.5" style="1" customWidth="1"/>
    <col min="25" max="25" width="5.125" style="1" bestFit="1" customWidth="1"/>
    <col min="26" max="26" width="3.125" style="1" customWidth="1"/>
    <col min="27" max="27" width="10.25" style="1" bestFit="1" customWidth="1"/>
    <col min="28" max="28" width="10.875" style="1" customWidth="1"/>
    <col min="29" max="32" width="10.625" style="1" customWidth="1"/>
    <col min="33" max="33" width="2.5" style="1" customWidth="1"/>
    <col min="34" max="35" width="10.625" style="1" customWidth="1"/>
    <col min="36" max="36" width="9.625" style="1" customWidth="1"/>
    <col min="37" max="38" width="11.125" style="1" customWidth="1"/>
    <col min="39" max="45" width="12.625" style="1" customWidth="1"/>
    <col min="46" max="268" width="8.875" style="1"/>
    <col min="269" max="269" width="23" style="1" customWidth="1"/>
    <col min="270" max="280" width="12.5" style="1" customWidth="1"/>
    <col min="281" max="281" width="4" style="1" bestFit="1" customWidth="1"/>
    <col min="282" max="282" width="3.125" style="1" customWidth="1"/>
    <col min="283" max="283" width="10.25" style="1" bestFit="1" customWidth="1"/>
    <col min="284" max="284" width="10.875" style="1" customWidth="1"/>
    <col min="285" max="288" width="10.625" style="1" customWidth="1"/>
    <col min="289" max="289" width="2.5" style="1" customWidth="1"/>
    <col min="290" max="290" width="19" style="1" customWidth="1"/>
    <col min="291" max="291" width="8" style="1" customWidth="1"/>
    <col min="292" max="292" width="9.625" style="1" customWidth="1"/>
    <col min="293" max="294" width="11.125" style="1" customWidth="1"/>
    <col min="295" max="301" width="12.625" style="1" customWidth="1"/>
    <col min="302" max="524" width="8.875" style="1"/>
    <col min="525" max="525" width="23" style="1" customWidth="1"/>
    <col min="526" max="536" width="12.5" style="1" customWidth="1"/>
    <col min="537" max="537" width="4" style="1" bestFit="1" customWidth="1"/>
    <col min="538" max="538" width="3.125" style="1" customWidth="1"/>
    <col min="539" max="539" width="10.25" style="1" bestFit="1" customWidth="1"/>
    <col min="540" max="540" width="10.875" style="1" customWidth="1"/>
    <col min="541" max="544" width="10.625" style="1" customWidth="1"/>
    <col min="545" max="545" width="2.5" style="1" customWidth="1"/>
    <col min="546" max="546" width="19" style="1" customWidth="1"/>
    <col min="547" max="547" width="8" style="1" customWidth="1"/>
    <col min="548" max="548" width="9.625" style="1" customWidth="1"/>
    <col min="549" max="550" width="11.125" style="1" customWidth="1"/>
    <col min="551" max="557" width="12.625" style="1" customWidth="1"/>
    <col min="558" max="780" width="8.875" style="1"/>
    <col min="781" max="781" width="23" style="1" customWidth="1"/>
    <col min="782" max="792" width="12.5" style="1" customWidth="1"/>
    <col min="793" max="793" width="4" style="1" bestFit="1" customWidth="1"/>
    <col min="794" max="794" width="3.125" style="1" customWidth="1"/>
    <col min="795" max="795" width="10.25" style="1" bestFit="1" customWidth="1"/>
    <col min="796" max="796" width="10.875" style="1" customWidth="1"/>
    <col min="797" max="800" width="10.625" style="1" customWidth="1"/>
    <col min="801" max="801" width="2.5" style="1" customWidth="1"/>
    <col min="802" max="802" width="19" style="1" customWidth="1"/>
    <col min="803" max="803" width="8" style="1" customWidth="1"/>
    <col min="804" max="804" width="9.625" style="1" customWidth="1"/>
    <col min="805" max="806" width="11.125" style="1" customWidth="1"/>
    <col min="807" max="813" width="12.625" style="1" customWidth="1"/>
    <col min="814" max="1036" width="8.875" style="1"/>
    <col min="1037" max="1037" width="23" style="1" customWidth="1"/>
    <col min="1038" max="1048" width="12.5" style="1" customWidth="1"/>
    <col min="1049" max="1049" width="4" style="1" bestFit="1" customWidth="1"/>
    <col min="1050" max="1050" width="3.125" style="1" customWidth="1"/>
    <col min="1051" max="1051" width="10.25" style="1" bestFit="1" customWidth="1"/>
    <col min="1052" max="1052" width="10.875" style="1" customWidth="1"/>
    <col min="1053" max="1056" width="10.625" style="1" customWidth="1"/>
    <col min="1057" max="1057" width="2.5" style="1" customWidth="1"/>
    <col min="1058" max="1058" width="19" style="1" customWidth="1"/>
    <col min="1059" max="1059" width="8" style="1" customWidth="1"/>
    <col min="1060" max="1060" width="9.625" style="1" customWidth="1"/>
    <col min="1061" max="1062" width="11.125" style="1" customWidth="1"/>
    <col min="1063" max="1069" width="12.625" style="1" customWidth="1"/>
    <col min="1070" max="1292" width="8.875" style="1"/>
    <col min="1293" max="1293" width="23" style="1" customWidth="1"/>
    <col min="1294" max="1304" width="12.5" style="1" customWidth="1"/>
    <col min="1305" max="1305" width="4" style="1" bestFit="1" customWidth="1"/>
    <col min="1306" max="1306" width="3.125" style="1" customWidth="1"/>
    <col min="1307" max="1307" width="10.25" style="1" bestFit="1" customWidth="1"/>
    <col min="1308" max="1308" width="10.875" style="1" customWidth="1"/>
    <col min="1309" max="1312" width="10.625" style="1" customWidth="1"/>
    <col min="1313" max="1313" width="2.5" style="1" customWidth="1"/>
    <col min="1314" max="1314" width="19" style="1" customWidth="1"/>
    <col min="1315" max="1315" width="8" style="1" customWidth="1"/>
    <col min="1316" max="1316" width="9.625" style="1" customWidth="1"/>
    <col min="1317" max="1318" width="11.125" style="1" customWidth="1"/>
    <col min="1319" max="1325" width="12.625" style="1" customWidth="1"/>
    <col min="1326" max="1548" width="8.875" style="1"/>
    <col min="1549" max="1549" width="23" style="1" customWidth="1"/>
    <col min="1550" max="1560" width="12.5" style="1" customWidth="1"/>
    <col min="1561" max="1561" width="4" style="1" bestFit="1" customWidth="1"/>
    <col min="1562" max="1562" width="3.125" style="1" customWidth="1"/>
    <col min="1563" max="1563" width="10.25" style="1" bestFit="1" customWidth="1"/>
    <col min="1564" max="1564" width="10.875" style="1" customWidth="1"/>
    <col min="1565" max="1568" width="10.625" style="1" customWidth="1"/>
    <col min="1569" max="1569" width="2.5" style="1" customWidth="1"/>
    <col min="1570" max="1570" width="19" style="1" customWidth="1"/>
    <col min="1571" max="1571" width="8" style="1" customWidth="1"/>
    <col min="1572" max="1572" width="9.625" style="1" customWidth="1"/>
    <col min="1573" max="1574" width="11.125" style="1" customWidth="1"/>
    <col min="1575" max="1581" width="12.625" style="1" customWidth="1"/>
    <col min="1582" max="1804" width="8.875" style="1"/>
    <col min="1805" max="1805" width="23" style="1" customWidth="1"/>
    <col min="1806" max="1816" width="12.5" style="1" customWidth="1"/>
    <col min="1817" max="1817" width="4" style="1" bestFit="1" customWidth="1"/>
    <col min="1818" max="1818" width="3.125" style="1" customWidth="1"/>
    <col min="1819" max="1819" width="10.25" style="1" bestFit="1" customWidth="1"/>
    <col min="1820" max="1820" width="10.875" style="1" customWidth="1"/>
    <col min="1821" max="1824" width="10.625" style="1" customWidth="1"/>
    <col min="1825" max="1825" width="2.5" style="1" customWidth="1"/>
    <col min="1826" max="1826" width="19" style="1" customWidth="1"/>
    <col min="1827" max="1827" width="8" style="1" customWidth="1"/>
    <col min="1828" max="1828" width="9.625" style="1" customWidth="1"/>
    <col min="1829" max="1830" width="11.125" style="1" customWidth="1"/>
    <col min="1831" max="1837" width="12.625" style="1" customWidth="1"/>
    <col min="1838" max="2060" width="8.875" style="1"/>
    <col min="2061" max="2061" width="23" style="1" customWidth="1"/>
    <col min="2062" max="2072" width="12.5" style="1" customWidth="1"/>
    <col min="2073" max="2073" width="4" style="1" bestFit="1" customWidth="1"/>
    <col min="2074" max="2074" width="3.125" style="1" customWidth="1"/>
    <col min="2075" max="2075" width="10.25" style="1" bestFit="1" customWidth="1"/>
    <col min="2076" max="2076" width="10.875" style="1" customWidth="1"/>
    <col min="2077" max="2080" width="10.625" style="1" customWidth="1"/>
    <col min="2081" max="2081" width="2.5" style="1" customWidth="1"/>
    <col min="2082" max="2082" width="19" style="1" customWidth="1"/>
    <col min="2083" max="2083" width="8" style="1" customWidth="1"/>
    <col min="2084" max="2084" width="9.625" style="1" customWidth="1"/>
    <col min="2085" max="2086" width="11.125" style="1" customWidth="1"/>
    <col min="2087" max="2093" width="12.625" style="1" customWidth="1"/>
    <col min="2094" max="2316" width="8.875" style="1"/>
    <col min="2317" max="2317" width="23" style="1" customWidth="1"/>
    <col min="2318" max="2328" width="12.5" style="1" customWidth="1"/>
    <col min="2329" max="2329" width="4" style="1" bestFit="1" customWidth="1"/>
    <col min="2330" max="2330" width="3.125" style="1" customWidth="1"/>
    <col min="2331" max="2331" width="10.25" style="1" bestFit="1" customWidth="1"/>
    <col min="2332" max="2332" width="10.875" style="1" customWidth="1"/>
    <col min="2333" max="2336" width="10.625" style="1" customWidth="1"/>
    <col min="2337" max="2337" width="2.5" style="1" customWidth="1"/>
    <col min="2338" max="2338" width="19" style="1" customWidth="1"/>
    <col min="2339" max="2339" width="8" style="1" customWidth="1"/>
    <col min="2340" max="2340" width="9.625" style="1" customWidth="1"/>
    <col min="2341" max="2342" width="11.125" style="1" customWidth="1"/>
    <col min="2343" max="2349" width="12.625" style="1" customWidth="1"/>
    <col min="2350" max="2572" width="8.875" style="1"/>
    <col min="2573" max="2573" width="23" style="1" customWidth="1"/>
    <col min="2574" max="2584" width="12.5" style="1" customWidth="1"/>
    <col min="2585" max="2585" width="4" style="1" bestFit="1" customWidth="1"/>
    <col min="2586" max="2586" width="3.125" style="1" customWidth="1"/>
    <col min="2587" max="2587" width="10.25" style="1" bestFit="1" customWidth="1"/>
    <col min="2588" max="2588" width="10.875" style="1" customWidth="1"/>
    <col min="2589" max="2592" width="10.625" style="1" customWidth="1"/>
    <col min="2593" max="2593" width="2.5" style="1" customWidth="1"/>
    <col min="2594" max="2594" width="19" style="1" customWidth="1"/>
    <col min="2595" max="2595" width="8" style="1" customWidth="1"/>
    <col min="2596" max="2596" width="9.625" style="1" customWidth="1"/>
    <col min="2597" max="2598" width="11.125" style="1" customWidth="1"/>
    <col min="2599" max="2605" width="12.625" style="1" customWidth="1"/>
    <col min="2606" max="2828" width="8.875" style="1"/>
    <col min="2829" max="2829" width="23" style="1" customWidth="1"/>
    <col min="2830" max="2840" width="12.5" style="1" customWidth="1"/>
    <col min="2841" max="2841" width="4" style="1" bestFit="1" customWidth="1"/>
    <col min="2842" max="2842" width="3.125" style="1" customWidth="1"/>
    <col min="2843" max="2843" width="10.25" style="1" bestFit="1" customWidth="1"/>
    <col min="2844" max="2844" width="10.875" style="1" customWidth="1"/>
    <col min="2845" max="2848" width="10.625" style="1" customWidth="1"/>
    <col min="2849" max="2849" width="2.5" style="1" customWidth="1"/>
    <col min="2850" max="2850" width="19" style="1" customWidth="1"/>
    <col min="2851" max="2851" width="8" style="1" customWidth="1"/>
    <col min="2852" max="2852" width="9.625" style="1" customWidth="1"/>
    <col min="2853" max="2854" width="11.125" style="1" customWidth="1"/>
    <col min="2855" max="2861" width="12.625" style="1" customWidth="1"/>
    <col min="2862" max="3084" width="8.875" style="1"/>
    <col min="3085" max="3085" width="23" style="1" customWidth="1"/>
    <col min="3086" max="3096" width="12.5" style="1" customWidth="1"/>
    <col min="3097" max="3097" width="4" style="1" bestFit="1" customWidth="1"/>
    <col min="3098" max="3098" width="3.125" style="1" customWidth="1"/>
    <col min="3099" max="3099" width="10.25" style="1" bestFit="1" customWidth="1"/>
    <col min="3100" max="3100" width="10.875" style="1" customWidth="1"/>
    <col min="3101" max="3104" width="10.625" style="1" customWidth="1"/>
    <col min="3105" max="3105" width="2.5" style="1" customWidth="1"/>
    <col min="3106" max="3106" width="19" style="1" customWidth="1"/>
    <col min="3107" max="3107" width="8" style="1" customWidth="1"/>
    <col min="3108" max="3108" width="9.625" style="1" customWidth="1"/>
    <col min="3109" max="3110" width="11.125" style="1" customWidth="1"/>
    <col min="3111" max="3117" width="12.625" style="1" customWidth="1"/>
    <col min="3118" max="3340" width="8.875" style="1"/>
    <col min="3341" max="3341" width="23" style="1" customWidth="1"/>
    <col min="3342" max="3352" width="12.5" style="1" customWidth="1"/>
    <col min="3353" max="3353" width="4" style="1" bestFit="1" customWidth="1"/>
    <col min="3354" max="3354" width="3.125" style="1" customWidth="1"/>
    <col min="3355" max="3355" width="10.25" style="1" bestFit="1" customWidth="1"/>
    <col min="3356" max="3356" width="10.875" style="1" customWidth="1"/>
    <col min="3357" max="3360" width="10.625" style="1" customWidth="1"/>
    <col min="3361" max="3361" width="2.5" style="1" customWidth="1"/>
    <col min="3362" max="3362" width="19" style="1" customWidth="1"/>
    <col min="3363" max="3363" width="8" style="1" customWidth="1"/>
    <col min="3364" max="3364" width="9.625" style="1" customWidth="1"/>
    <col min="3365" max="3366" width="11.125" style="1" customWidth="1"/>
    <col min="3367" max="3373" width="12.625" style="1" customWidth="1"/>
    <col min="3374" max="3596" width="8.875" style="1"/>
    <col min="3597" max="3597" width="23" style="1" customWidth="1"/>
    <col min="3598" max="3608" width="12.5" style="1" customWidth="1"/>
    <col min="3609" max="3609" width="4" style="1" bestFit="1" customWidth="1"/>
    <col min="3610" max="3610" width="3.125" style="1" customWidth="1"/>
    <col min="3611" max="3611" width="10.25" style="1" bestFit="1" customWidth="1"/>
    <col min="3612" max="3612" width="10.875" style="1" customWidth="1"/>
    <col min="3613" max="3616" width="10.625" style="1" customWidth="1"/>
    <col min="3617" max="3617" width="2.5" style="1" customWidth="1"/>
    <col min="3618" max="3618" width="19" style="1" customWidth="1"/>
    <col min="3619" max="3619" width="8" style="1" customWidth="1"/>
    <col min="3620" max="3620" width="9.625" style="1" customWidth="1"/>
    <col min="3621" max="3622" width="11.125" style="1" customWidth="1"/>
    <col min="3623" max="3629" width="12.625" style="1" customWidth="1"/>
    <col min="3630" max="3852" width="8.875" style="1"/>
    <col min="3853" max="3853" width="23" style="1" customWidth="1"/>
    <col min="3854" max="3864" width="12.5" style="1" customWidth="1"/>
    <col min="3865" max="3865" width="4" style="1" bestFit="1" customWidth="1"/>
    <col min="3866" max="3866" width="3.125" style="1" customWidth="1"/>
    <col min="3867" max="3867" width="10.25" style="1" bestFit="1" customWidth="1"/>
    <col min="3868" max="3868" width="10.875" style="1" customWidth="1"/>
    <col min="3869" max="3872" width="10.625" style="1" customWidth="1"/>
    <col min="3873" max="3873" width="2.5" style="1" customWidth="1"/>
    <col min="3874" max="3874" width="19" style="1" customWidth="1"/>
    <col min="3875" max="3875" width="8" style="1" customWidth="1"/>
    <col min="3876" max="3876" width="9.625" style="1" customWidth="1"/>
    <col min="3877" max="3878" width="11.125" style="1" customWidth="1"/>
    <col min="3879" max="3885" width="12.625" style="1" customWidth="1"/>
    <col min="3886" max="4108" width="8.875" style="1"/>
    <col min="4109" max="4109" width="23" style="1" customWidth="1"/>
    <col min="4110" max="4120" width="12.5" style="1" customWidth="1"/>
    <col min="4121" max="4121" width="4" style="1" bestFit="1" customWidth="1"/>
    <col min="4122" max="4122" width="3.125" style="1" customWidth="1"/>
    <col min="4123" max="4123" width="10.25" style="1" bestFit="1" customWidth="1"/>
    <col min="4124" max="4124" width="10.875" style="1" customWidth="1"/>
    <col min="4125" max="4128" width="10.625" style="1" customWidth="1"/>
    <col min="4129" max="4129" width="2.5" style="1" customWidth="1"/>
    <col min="4130" max="4130" width="19" style="1" customWidth="1"/>
    <col min="4131" max="4131" width="8" style="1" customWidth="1"/>
    <col min="4132" max="4132" width="9.625" style="1" customWidth="1"/>
    <col min="4133" max="4134" width="11.125" style="1" customWidth="1"/>
    <col min="4135" max="4141" width="12.625" style="1" customWidth="1"/>
    <col min="4142" max="4364" width="8.875" style="1"/>
    <col min="4365" max="4365" width="23" style="1" customWidth="1"/>
    <col min="4366" max="4376" width="12.5" style="1" customWidth="1"/>
    <col min="4377" max="4377" width="4" style="1" bestFit="1" customWidth="1"/>
    <col min="4378" max="4378" width="3.125" style="1" customWidth="1"/>
    <col min="4379" max="4379" width="10.25" style="1" bestFit="1" customWidth="1"/>
    <col min="4380" max="4380" width="10.875" style="1" customWidth="1"/>
    <col min="4381" max="4384" width="10.625" style="1" customWidth="1"/>
    <col min="4385" max="4385" width="2.5" style="1" customWidth="1"/>
    <col min="4386" max="4386" width="19" style="1" customWidth="1"/>
    <col min="4387" max="4387" width="8" style="1" customWidth="1"/>
    <col min="4388" max="4388" width="9.625" style="1" customWidth="1"/>
    <col min="4389" max="4390" width="11.125" style="1" customWidth="1"/>
    <col min="4391" max="4397" width="12.625" style="1" customWidth="1"/>
    <col min="4398" max="4620" width="8.875" style="1"/>
    <col min="4621" max="4621" width="23" style="1" customWidth="1"/>
    <col min="4622" max="4632" width="12.5" style="1" customWidth="1"/>
    <col min="4633" max="4633" width="4" style="1" bestFit="1" customWidth="1"/>
    <col min="4634" max="4634" width="3.125" style="1" customWidth="1"/>
    <col min="4635" max="4635" width="10.25" style="1" bestFit="1" customWidth="1"/>
    <col min="4636" max="4636" width="10.875" style="1" customWidth="1"/>
    <col min="4637" max="4640" width="10.625" style="1" customWidth="1"/>
    <col min="4641" max="4641" width="2.5" style="1" customWidth="1"/>
    <col min="4642" max="4642" width="19" style="1" customWidth="1"/>
    <col min="4643" max="4643" width="8" style="1" customWidth="1"/>
    <col min="4644" max="4644" width="9.625" style="1" customWidth="1"/>
    <col min="4645" max="4646" width="11.125" style="1" customWidth="1"/>
    <col min="4647" max="4653" width="12.625" style="1" customWidth="1"/>
    <col min="4654" max="4876" width="8.875" style="1"/>
    <col min="4877" max="4877" width="23" style="1" customWidth="1"/>
    <col min="4878" max="4888" width="12.5" style="1" customWidth="1"/>
    <col min="4889" max="4889" width="4" style="1" bestFit="1" customWidth="1"/>
    <col min="4890" max="4890" width="3.125" style="1" customWidth="1"/>
    <col min="4891" max="4891" width="10.25" style="1" bestFit="1" customWidth="1"/>
    <col min="4892" max="4892" width="10.875" style="1" customWidth="1"/>
    <col min="4893" max="4896" width="10.625" style="1" customWidth="1"/>
    <col min="4897" max="4897" width="2.5" style="1" customWidth="1"/>
    <col min="4898" max="4898" width="19" style="1" customWidth="1"/>
    <col min="4899" max="4899" width="8" style="1" customWidth="1"/>
    <col min="4900" max="4900" width="9.625" style="1" customWidth="1"/>
    <col min="4901" max="4902" width="11.125" style="1" customWidth="1"/>
    <col min="4903" max="4909" width="12.625" style="1" customWidth="1"/>
    <col min="4910" max="5132" width="8.875" style="1"/>
    <col min="5133" max="5133" width="23" style="1" customWidth="1"/>
    <col min="5134" max="5144" width="12.5" style="1" customWidth="1"/>
    <col min="5145" max="5145" width="4" style="1" bestFit="1" customWidth="1"/>
    <col min="5146" max="5146" width="3.125" style="1" customWidth="1"/>
    <col min="5147" max="5147" width="10.25" style="1" bestFit="1" customWidth="1"/>
    <col min="5148" max="5148" width="10.875" style="1" customWidth="1"/>
    <col min="5149" max="5152" width="10.625" style="1" customWidth="1"/>
    <col min="5153" max="5153" width="2.5" style="1" customWidth="1"/>
    <col min="5154" max="5154" width="19" style="1" customWidth="1"/>
    <col min="5155" max="5155" width="8" style="1" customWidth="1"/>
    <col min="5156" max="5156" width="9.625" style="1" customWidth="1"/>
    <col min="5157" max="5158" width="11.125" style="1" customWidth="1"/>
    <col min="5159" max="5165" width="12.625" style="1" customWidth="1"/>
    <col min="5166" max="5388" width="8.875" style="1"/>
    <col min="5389" max="5389" width="23" style="1" customWidth="1"/>
    <col min="5390" max="5400" width="12.5" style="1" customWidth="1"/>
    <col min="5401" max="5401" width="4" style="1" bestFit="1" customWidth="1"/>
    <col min="5402" max="5402" width="3.125" style="1" customWidth="1"/>
    <col min="5403" max="5403" width="10.25" style="1" bestFit="1" customWidth="1"/>
    <col min="5404" max="5404" width="10.875" style="1" customWidth="1"/>
    <col min="5405" max="5408" width="10.625" style="1" customWidth="1"/>
    <col min="5409" max="5409" width="2.5" style="1" customWidth="1"/>
    <col min="5410" max="5410" width="19" style="1" customWidth="1"/>
    <col min="5411" max="5411" width="8" style="1" customWidth="1"/>
    <col min="5412" max="5412" width="9.625" style="1" customWidth="1"/>
    <col min="5413" max="5414" width="11.125" style="1" customWidth="1"/>
    <col min="5415" max="5421" width="12.625" style="1" customWidth="1"/>
    <col min="5422" max="5644" width="8.875" style="1"/>
    <col min="5645" max="5645" width="23" style="1" customWidth="1"/>
    <col min="5646" max="5656" width="12.5" style="1" customWidth="1"/>
    <col min="5657" max="5657" width="4" style="1" bestFit="1" customWidth="1"/>
    <col min="5658" max="5658" width="3.125" style="1" customWidth="1"/>
    <col min="5659" max="5659" width="10.25" style="1" bestFit="1" customWidth="1"/>
    <col min="5660" max="5660" width="10.875" style="1" customWidth="1"/>
    <col min="5661" max="5664" width="10.625" style="1" customWidth="1"/>
    <col min="5665" max="5665" width="2.5" style="1" customWidth="1"/>
    <col min="5666" max="5666" width="19" style="1" customWidth="1"/>
    <col min="5667" max="5667" width="8" style="1" customWidth="1"/>
    <col min="5668" max="5668" width="9.625" style="1" customWidth="1"/>
    <col min="5669" max="5670" width="11.125" style="1" customWidth="1"/>
    <col min="5671" max="5677" width="12.625" style="1" customWidth="1"/>
    <col min="5678" max="5900" width="8.875" style="1"/>
    <col min="5901" max="5901" width="23" style="1" customWidth="1"/>
    <col min="5902" max="5912" width="12.5" style="1" customWidth="1"/>
    <col min="5913" max="5913" width="4" style="1" bestFit="1" customWidth="1"/>
    <col min="5914" max="5914" width="3.125" style="1" customWidth="1"/>
    <col min="5915" max="5915" width="10.25" style="1" bestFit="1" customWidth="1"/>
    <col min="5916" max="5916" width="10.875" style="1" customWidth="1"/>
    <col min="5917" max="5920" width="10.625" style="1" customWidth="1"/>
    <col min="5921" max="5921" width="2.5" style="1" customWidth="1"/>
    <col min="5922" max="5922" width="19" style="1" customWidth="1"/>
    <col min="5923" max="5923" width="8" style="1" customWidth="1"/>
    <col min="5924" max="5924" width="9.625" style="1" customWidth="1"/>
    <col min="5925" max="5926" width="11.125" style="1" customWidth="1"/>
    <col min="5927" max="5933" width="12.625" style="1" customWidth="1"/>
    <col min="5934" max="6156" width="8.875" style="1"/>
    <col min="6157" max="6157" width="23" style="1" customWidth="1"/>
    <col min="6158" max="6168" width="12.5" style="1" customWidth="1"/>
    <col min="6169" max="6169" width="4" style="1" bestFit="1" customWidth="1"/>
    <col min="6170" max="6170" width="3.125" style="1" customWidth="1"/>
    <col min="6171" max="6171" width="10.25" style="1" bestFit="1" customWidth="1"/>
    <col min="6172" max="6172" width="10.875" style="1" customWidth="1"/>
    <col min="6173" max="6176" width="10.625" style="1" customWidth="1"/>
    <col min="6177" max="6177" width="2.5" style="1" customWidth="1"/>
    <col min="6178" max="6178" width="19" style="1" customWidth="1"/>
    <col min="6179" max="6179" width="8" style="1" customWidth="1"/>
    <col min="6180" max="6180" width="9.625" style="1" customWidth="1"/>
    <col min="6181" max="6182" width="11.125" style="1" customWidth="1"/>
    <col min="6183" max="6189" width="12.625" style="1" customWidth="1"/>
    <col min="6190" max="6412" width="8.875" style="1"/>
    <col min="6413" max="6413" width="23" style="1" customWidth="1"/>
    <col min="6414" max="6424" width="12.5" style="1" customWidth="1"/>
    <col min="6425" max="6425" width="4" style="1" bestFit="1" customWidth="1"/>
    <col min="6426" max="6426" width="3.125" style="1" customWidth="1"/>
    <col min="6427" max="6427" width="10.25" style="1" bestFit="1" customWidth="1"/>
    <col min="6428" max="6428" width="10.875" style="1" customWidth="1"/>
    <col min="6429" max="6432" width="10.625" style="1" customWidth="1"/>
    <col min="6433" max="6433" width="2.5" style="1" customWidth="1"/>
    <col min="6434" max="6434" width="19" style="1" customWidth="1"/>
    <col min="6435" max="6435" width="8" style="1" customWidth="1"/>
    <col min="6436" max="6436" width="9.625" style="1" customWidth="1"/>
    <col min="6437" max="6438" width="11.125" style="1" customWidth="1"/>
    <col min="6439" max="6445" width="12.625" style="1" customWidth="1"/>
    <col min="6446" max="6668" width="8.875" style="1"/>
    <col min="6669" max="6669" width="23" style="1" customWidth="1"/>
    <col min="6670" max="6680" width="12.5" style="1" customWidth="1"/>
    <col min="6681" max="6681" width="4" style="1" bestFit="1" customWidth="1"/>
    <col min="6682" max="6682" width="3.125" style="1" customWidth="1"/>
    <col min="6683" max="6683" width="10.25" style="1" bestFit="1" customWidth="1"/>
    <col min="6684" max="6684" width="10.875" style="1" customWidth="1"/>
    <col min="6685" max="6688" width="10.625" style="1" customWidth="1"/>
    <col min="6689" max="6689" width="2.5" style="1" customWidth="1"/>
    <col min="6690" max="6690" width="19" style="1" customWidth="1"/>
    <col min="6691" max="6691" width="8" style="1" customWidth="1"/>
    <col min="6692" max="6692" width="9.625" style="1" customWidth="1"/>
    <col min="6693" max="6694" width="11.125" style="1" customWidth="1"/>
    <col min="6695" max="6701" width="12.625" style="1" customWidth="1"/>
    <col min="6702" max="6924" width="8.875" style="1"/>
    <col min="6925" max="6925" width="23" style="1" customWidth="1"/>
    <col min="6926" max="6936" width="12.5" style="1" customWidth="1"/>
    <col min="6937" max="6937" width="4" style="1" bestFit="1" customWidth="1"/>
    <col min="6938" max="6938" width="3.125" style="1" customWidth="1"/>
    <col min="6939" max="6939" width="10.25" style="1" bestFit="1" customWidth="1"/>
    <col min="6940" max="6940" width="10.875" style="1" customWidth="1"/>
    <col min="6941" max="6944" width="10.625" style="1" customWidth="1"/>
    <col min="6945" max="6945" width="2.5" style="1" customWidth="1"/>
    <col min="6946" max="6946" width="19" style="1" customWidth="1"/>
    <col min="6947" max="6947" width="8" style="1" customWidth="1"/>
    <col min="6948" max="6948" width="9.625" style="1" customWidth="1"/>
    <col min="6949" max="6950" width="11.125" style="1" customWidth="1"/>
    <col min="6951" max="6957" width="12.625" style="1" customWidth="1"/>
    <col min="6958" max="7180" width="8.875" style="1"/>
    <col min="7181" max="7181" width="23" style="1" customWidth="1"/>
    <col min="7182" max="7192" width="12.5" style="1" customWidth="1"/>
    <col min="7193" max="7193" width="4" style="1" bestFit="1" customWidth="1"/>
    <col min="7194" max="7194" width="3.125" style="1" customWidth="1"/>
    <col min="7195" max="7195" width="10.25" style="1" bestFit="1" customWidth="1"/>
    <col min="7196" max="7196" width="10.875" style="1" customWidth="1"/>
    <col min="7197" max="7200" width="10.625" style="1" customWidth="1"/>
    <col min="7201" max="7201" width="2.5" style="1" customWidth="1"/>
    <col min="7202" max="7202" width="19" style="1" customWidth="1"/>
    <col min="7203" max="7203" width="8" style="1" customWidth="1"/>
    <col min="7204" max="7204" width="9.625" style="1" customWidth="1"/>
    <col min="7205" max="7206" width="11.125" style="1" customWidth="1"/>
    <col min="7207" max="7213" width="12.625" style="1" customWidth="1"/>
    <col min="7214" max="7436" width="8.875" style="1"/>
    <col min="7437" max="7437" width="23" style="1" customWidth="1"/>
    <col min="7438" max="7448" width="12.5" style="1" customWidth="1"/>
    <col min="7449" max="7449" width="4" style="1" bestFit="1" customWidth="1"/>
    <col min="7450" max="7450" width="3.125" style="1" customWidth="1"/>
    <col min="7451" max="7451" width="10.25" style="1" bestFit="1" customWidth="1"/>
    <col min="7452" max="7452" width="10.875" style="1" customWidth="1"/>
    <col min="7453" max="7456" width="10.625" style="1" customWidth="1"/>
    <col min="7457" max="7457" width="2.5" style="1" customWidth="1"/>
    <col min="7458" max="7458" width="19" style="1" customWidth="1"/>
    <col min="7459" max="7459" width="8" style="1" customWidth="1"/>
    <col min="7460" max="7460" width="9.625" style="1" customWidth="1"/>
    <col min="7461" max="7462" width="11.125" style="1" customWidth="1"/>
    <col min="7463" max="7469" width="12.625" style="1" customWidth="1"/>
    <col min="7470" max="7692" width="8.875" style="1"/>
    <col min="7693" max="7693" width="23" style="1" customWidth="1"/>
    <col min="7694" max="7704" width="12.5" style="1" customWidth="1"/>
    <col min="7705" max="7705" width="4" style="1" bestFit="1" customWidth="1"/>
    <col min="7706" max="7706" width="3.125" style="1" customWidth="1"/>
    <col min="7707" max="7707" width="10.25" style="1" bestFit="1" customWidth="1"/>
    <col min="7708" max="7708" width="10.875" style="1" customWidth="1"/>
    <col min="7709" max="7712" width="10.625" style="1" customWidth="1"/>
    <col min="7713" max="7713" width="2.5" style="1" customWidth="1"/>
    <col min="7714" max="7714" width="19" style="1" customWidth="1"/>
    <col min="7715" max="7715" width="8" style="1" customWidth="1"/>
    <col min="7716" max="7716" width="9.625" style="1" customWidth="1"/>
    <col min="7717" max="7718" width="11.125" style="1" customWidth="1"/>
    <col min="7719" max="7725" width="12.625" style="1" customWidth="1"/>
    <col min="7726" max="7948" width="8.875" style="1"/>
    <col min="7949" max="7949" width="23" style="1" customWidth="1"/>
    <col min="7950" max="7960" width="12.5" style="1" customWidth="1"/>
    <col min="7961" max="7961" width="4" style="1" bestFit="1" customWidth="1"/>
    <col min="7962" max="7962" width="3.125" style="1" customWidth="1"/>
    <col min="7963" max="7963" width="10.25" style="1" bestFit="1" customWidth="1"/>
    <col min="7964" max="7964" width="10.875" style="1" customWidth="1"/>
    <col min="7965" max="7968" width="10.625" style="1" customWidth="1"/>
    <col min="7969" max="7969" width="2.5" style="1" customWidth="1"/>
    <col min="7970" max="7970" width="19" style="1" customWidth="1"/>
    <col min="7971" max="7971" width="8" style="1" customWidth="1"/>
    <col min="7972" max="7972" width="9.625" style="1" customWidth="1"/>
    <col min="7973" max="7974" width="11.125" style="1" customWidth="1"/>
    <col min="7975" max="7981" width="12.625" style="1" customWidth="1"/>
    <col min="7982" max="8204" width="8.875" style="1"/>
    <col min="8205" max="8205" width="23" style="1" customWidth="1"/>
    <col min="8206" max="8216" width="12.5" style="1" customWidth="1"/>
    <col min="8217" max="8217" width="4" style="1" bestFit="1" customWidth="1"/>
    <col min="8218" max="8218" width="3.125" style="1" customWidth="1"/>
    <col min="8219" max="8219" width="10.25" style="1" bestFit="1" customWidth="1"/>
    <col min="8220" max="8220" width="10.875" style="1" customWidth="1"/>
    <col min="8221" max="8224" width="10.625" style="1" customWidth="1"/>
    <col min="8225" max="8225" width="2.5" style="1" customWidth="1"/>
    <col min="8226" max="8226" width="19" style="1" customWidth="1"/>
    <col min="8227" max="8227" width="8" style="1" customWidth="1"/>
    <col min="8228" max="8228" width="9.625" style="1" customWidth="1"/>
    <col min="8229" max="8230" width="11.125" style="1" customWidth="1"/>
    <col min="8231" max="8237" width="12.625" style="1" customWidth="1"/>
    <col min="8238" max="8460" width="8.875" style="1"/>
    <col min="8461" max="8461" width="23" style="1" customWidth="1"/>
    <col min="8462" max="8472" width="12.5" style="1" customWidth="1"/>
    <col min="8473" max="8473" width="4" style="1" bestFit="1" customWidth="1"/>
    <col min="8474" max="8474" width="3.125" style="1" customWidth="1"/>
    <col min="8475" max="8475" width="10.25" style="1" bestFit="1" customWidth="1"/>
    <col min="8476" max="8476" width="10.875" style="1" customWidth="1"/>
    <col min="8477" max="8480" width="10.625" style="1" customWidth="1"/>
    <col min="8481" max="8481" width="2.5" style="1" customWidth="1"/>
    <col min="8482" max="8482" width="19" style="1" customWidth="1"/>
    <col min="8483" max="8483" width="8" style="1" customWidth="1"/>
    <col min="8484" max="8484" width="9.625" style="1" customWidth="1"/>
    <col min="8485" max="8486" width="11.125" style="1" customWidth="1"/>
    <col min="8487" max="8493" width="12.625" style="1" customWidth="1"/>
    <col min="8494" max="8716" width="8.875" style="1"/>
    <col min="8717" max="8717" width="23" style="1" customWidth="1"/>
    <col min="8718" max="8728" width="12.5" style="1" customWidth="1"/>
    <col min="8729" max="8729" width="4" style="1" bestFit="1" customWidth="1"/>
    <col min="8730" max="8730" width="3.125" style="1" customWidth="1"/>
    <col min="8731" max="8731" width="10.25" style="1" bestFit="1" customWidth="1"/>
    <col min="8732" max="8732" width="10.875" style="1" customWidth="1"/>
    <col min="8733" max="8736" width="10.625" style="1" customWidth="1"/>
    <col min="8737" max="8737" width="2.5" style="1" customWidth="1"/>
    <col min="8738" max="8738" width="19" style="1" customWidth="1"/>
    <col min="8739" max="8739" width="8" style="1" customWidth="1"/>
    <col min="8740" max="8740" width="9.625" style="1" customWidth="1"/>
    <col min="8741" max="8742" width="11.125" style="1" customWidth="1"/>
    <col min="8743" max="8749" width="12.625" style="1" customWidth="1"/>
    <col min="8750" max="8972" width="8.875" style="1"/>
    <col min="8973" max="8973" width="23" style="1" customWidth="1"/>
    <col min="8974" max="8984" width="12.5" style="1" customWidth="1"/>
    <col min="8985" max="8985" width="4" style="1" bestFit="1" customWidth="1"/>
    <col min="8986" max="8986" width="3.125" style="1" customWidth="1"/>
    <col min="8987" max="8987" width="10.25" style="1" bestFit="1" customWidth="1"/>
    <col min="8988" max="8988" width="10.875" style="1" customWidth="1"/>
    <col min="8989" max="8992" width="10.625" style="1" customWidth="1"/>
    <col min="8993" max="8993" width="2.5" style="1" customWidth="1"/>
    <col min="8994" max="8994" width="19" style="1" customWidth="1"/>
    <col min="8995" max="8995" width="8" style="1" customWidth="1"/>
    <col min="8996" max="8996" width="9.625" style="1" customWidth="1"/>
    <col min="8997" max="8998" width="11.125" style="1" customWidth="1"/>
    <col min="8999" max="9005" width="12.625" style="1" customWidth="1"/>
    <col min="9006" max="9228" width="8.875" style="1"/>
    <col min="9229" max="9229" width="23" style="1" customWidth="1"/>
    <col min="9230" max="9240" width="12.5" style="1" customWidth="1"/>
    <col min="9241" max="9241" width="4" style="1" bestFit="1" customWidth="1"/>
    <col min="9242" max="9242" width="3.125" style="1" customWidth="1"/>
    <col min="9243" max="9243" width="10.25" style="1" bestFit="1" customWidth="1"/>
    <col min="9244" max="9244" width="10.875" style="1" customWidth="1"/>
    <col min="9245" max="9248" width="10.625" style="1" customWidth="1"/>
    <col min="9249" max="9249" width="2.5" style="1" customWidth="1"/>
    <col min="9250" max="9250" width="19" style="1" customWidth="1"/>
    <col min="9251" max="9251" width="8" style="1" customWidth="1"/>
    <col min="9252" max="9252" width="9.625" style="1" customWidth="1"/>
    <col min="9253" max="9254" width="11.125" style="1" customWidth="1"/>
    <col min="9255" max="9261" width="12.625" style="1" customWidth="1"/>
    <col min="9262" max="9484" width="8.875" style="1"/>
    <col min="9485" max="9485" width="23" style="1" customWidth="1"/>
    <col min="9486" max="9496" width="12.5" style="1" customWidth="1"/>
    <col min="9497" max="9497" width="4" style="1" bestFit="1" customWidth="1"/>
    <col min="9498" max="9498" width="3.125" style="1" customWidth="1"/>
    <col min="9499" max="9499" width="10.25" style="1" bestFit="1" customWidth="1"/>
    <col min="9500" max="9500" width="10.875" style="1" customWidth="1"/>
    <col min="9501" max="9504" width="10.625" style="1" customWidth="1"/>
    <col min="9505" max="9505" width="2.5" style="1" customWidth="1"/>
    <col min="9506" max="9506" width="19" style="1" customWidth="1"/>
    <col min="9507" max="9507" width="8" style="1" customWidth="1"/>
    <col min="9508" max="9508" width="9.625" style="1" customWidth="1"/>
    <col min="9509" max="9510" width="11.125" style="1" customWidth="1"/>
    <col min="9511" max="9517" width="12.625" style="1" customWidth="1"/>
    <col min="9518" max="9740" width="8.875" style="1"/>
    <col min="9741" max="9741" width="23" style="1" customWidth="1"/>
    <col min="9742" max="9752" width="12.5" style="1" customWidth="1"/>
    <col min="9753" max="9753" width="4" style="1" bestFit="1" customWidth="1"/>
    <col min="9754" max="9754" width="3.125" style="1" customWidth="1"/>
    <col min="9755" max="9755" width="10.25" style="1" bestFit="1" customWidth="1"/>
    <col min="9756" max="9756" width="10.875" style="1" customWidth="1"/>
    <col min="9757" max="9760" width="10.625" style="1" customWidth="1"/>
    <col min="9761" max="9761" width="2.5" style="1" customWidth="1"/>
    <col min="9762" max="9762" width="19" style="1" customWidth="1"/>
    <col min="9763" max="9763" width="8" style="1" customWidth="1"/>
    <col min="9764" max="9764" width="9.625" style="1" customWidth="1"/>
    <col min="9765" max="9766" width="11.125" style="1" customWidth="1"/>
    <col min="9767" max="9773" width="12.625" style="1" customWidth="1"/>
    <col min="9774" max="9996" width="8.875" style="1"/>
    <col min="9997" max="9997" width="23" style="1" customWidth="1"/>
    <col min="9998" max="10008" width="12.5" style="1" customWidth="1"/>
    <col min="10009" max="10009" width="4" style="1" bestFit="1" customWidth="1"/>
    <col min="10010" max="10010" width="3.125" style="1" customWidth="1"/>
    <col min="10011" max="10011" width="10.25" style="1" bestFit="1" customWidth="1"/>
    <col min="10012" max="10012" width="10.875" style="1" customWidth="1"/>
    <col min="10013" max="10016" width="10.625" style="1" customWidth="1"/>
    <col min="10017" max="10017" width="2.5" style="1" customWidth="1"/>
    <col min="10018" max="10018" width="19" style="1" customWidth="1"/>
    <col min="10019" max="10019" width="8" style="1" customWidth="1"/>
    <col min="10020" max="10020" width="9.625" style="1" customWidth="1"/>
    <col min="10021" max="10022" width="11.125" style="1" customWidth="1"/>
    <col min="10023" max="10029" width="12.625" style="1" customWidth="1"/>
    <col min="10030" max="10252" width="8.875" style="1"/>
    <col min="10253" max="10253" width="23" style="1" customWidth="1"/>
    <col min="10254" max="10264" width="12.5" style="1" customWidth="1"/>
    <col min="10265" max="10265" width="4" style="1" bestFit="1" customWidth="1"/>
    <col min="10266" max="10266" width="3.125" style="1" customWidth="1"/>
    <col min="10267" max="10267" width="10.25" style="1" bestFit="1" customWidth="1"/>
    <col min="10268" max="10268" width="10.875" style="1" customWidth="1"/>
    <col min="10269" max="10272" width="10.625" style="1" customWidth="1"/>
    <col min="10273" max="10273" width="2.5" style="1" customWidth="1"/>
    <col min="10274" max="10274" width="19" style="1" customWidth="1"/>
    <col min="10275" max="10275" width="8" style="1" customWidth="1"/>
    <col min="10276" max="10276" width="9.625" style="1" customWidth="1"/>
    <col min="10277" max="10278" width="11.125" style="1" customWidth="1"/>
    <col min="10279" max="10285" width="12.625" style="1" customWidth="1"/>
    <col min="10286" max="10508" width="8.875" style="1"/>
    <col min="10509" max="10509" width="23" style="1" customWidth="1"/>
    <col min="10510" max="10520" width="12.5" style="1" customWidth="1"/>
    <col min="10521" max="10521" width="4" style="1" bestFit="1" customWidth="1"/>
    <col min="10522" max="10522" width="3.125" style="1" customWidth="1"/>
    <col min="10523" max="10523" width="10.25" style="1" bestFit="1" customWidth="1"/>
    <col min="10524" max="10524" width="10.875" style="1" customWidth="1"/>
    <col min="10525" max="10528" width="10.625" style="1" customWidth="1"/>
    <col min="10529" max="10529" width="2.5" style="1" customWidth="1"/>
    <col min="10530" max="10530" width="19" style="1" customWidth="1"/>
    <col min="10531" max="10531" width="8" style="1" customWidth="1"/>
    <col min="10532" max="10532" width="9.625" style="1" customWidth="1"/>
    <col min="10533" max="10534" width="11.125" style="1" customWidth="1"/>
    <col min="10535" max="10541" width="12.625" style="1" customWidth="1"/>
    <col min="10542" max="10764" width="8.875" style="1"/>
    <col min="10765" max="10765" width="23" style="1" customWidth="1"/>
    <col min="10766" max="10776" width="12.5" style="1" customWidth="1"/>
    <col min="10777" max="10777" width="4" style="1" bestFit="1" customWidth="1"/>
    <col min="10778" max="10778" width="3.125" style="1" customWidth="1"/>
    <col min="10779" max="10779" width="10.25" style="1" bestFit="1" customWidth="1"/>
    <col min="10780" max="10780" width="10.875" style="1" customWidth="1"/>
    <col min="10781" max="10784" width="10.625" style="1" customWidth="1"/>
    <col min="10785" max="10785" width="2.5" style="1" customWidth="1"/>
    <col min="10786" max="10786" width="19" style="1" customWidth="1"/>
    <col min="10787" max="10787" width="8" style="1" customWidth="1"/>
    <col min="10788" max="10788" width="9.625" style="1" customWidth="1"/>
    <col min="10789" max="10790" width="11.125" style="1" customWidth="1"/>
    <col min="10791" max="10797" width="12.625" style="1" customWidth="1"/>
    <col min="10798" max="11020" width="8.875" style="1"/>
    <col min="11021" max="11021" width="23" style="1" customWidth="1"/>
    <col min="11022" max="11032" width="12.5" style="1" customWidth="1"/>
    <col min="11033" max="11033" width="4" style="1" bestFit="1" customWidth="1"/>
    <col min="11034" max="11034" width="3.125" style="1" customWidth="1"/>
    <col min="11035" max="11035" width="10.25" style="1" bestFit="1" customWidth="1"/>
    <col min="11036" max="11036" width="10.875" style="1" customWidth="1"/>
    <col min="11037" max="11040" width="10.625" style="1" customWidth="1"/>
    <col min="11041" max="11041" width="2.5" style="1" customWidth="1"/>
    <col min="11042" max="11042" width="19" style="1" customWidth="1"/>
    <col min="11043" max="11043" width="8" style="1" customWidth="1"/>
    <col min="11044" max="11044" width="9.625" style="1" customWidth="1"/>
    <col min="11045" max="11046" width="11.125" style="1" customWidth="1"/>
    <col min="11047" max="11053" width="12.625" style="1" customWidth="1"/>
    <col min="11054" max="11276" width="8.875" style="1"/>
    <col min="11277" max="11277" width="23" style="1" customWidth="1"/>
    <col min="11278" max="11288" width="12.5" style="1" customWidth="1"/>
    <col min="11289" max="11289" width="4" style="1" bestFit="1" customWidth="1"/>
    <col min="11290" max="11290" width="3.125" style="1" customWidth="1"/>
    <col min="11291" max="11291" width="10.25" style="1" bestFit="1" customWidth="1"/>
    <col min="11292" max="11292" width="10.875" style="1" customWidth="1"/>
    <col min="11293" max="11296" width="10.625" style="1" customWidth="1"/>
    <col min="11297" max="11297" width="2.5" style="1" customWidth="1"/>
    <col min="11298" max="11298" width="19" style="1" customWidth="1"/>
    <col min="11299" max="11299" width="8" style="1" customWidth="1"/>
    <col min="11300" max="11300" width="9.625" style="1" customWidth="1"/>
    <col min="11301" max="11302" width="11.125" style="1" customWidth="1"/>
    <col min="11303" max="11309" width="12.625" style="1" customWidth="1"/>
    <col min="11310" max="11532" width="8.875" style="1"/>
    <col min="11533" max="11533" width="23" style="1" customWidth="1"/>
    <col min="11534" max="11544" width="12.5" style="1" customWidth="1"/>
    <col min="11545" max="11545" width="4" style="1" bestFit="1" customWidth="1"/>
    <col min="11546" max="11546" width="3.125" style="1" customWidth="1"/>
    <col min="11547" max="11547" width="10.25" style="1" bestFit="1" customWidth="1"/>
    <col min="11548" max="11548" width="10.875" style="1" customWidth="1"/>
    <col min="11549" max="11552" width="10.625" style="1" customWidth="1"/>
    <col min="11553" max="11553" width="2.5" style="1" customWidth="1"/>
    <col min="11554" max="11554" width="19" style="1" customWidth="1"/>
    <col min="11555" max="11555" width="8" style="1" customWidth="1"/>
    <col min="11556" max="11556" width="9.625" style="1" customWidth="1"/>
    <col min="11557" max="11558" width="11.125" style="1" customWidth="1"/>
    <col min="11559" max="11565" width="12.625" style="1" customWidth="1"/>
    <col min="11566" max="11788" width="8.875" style="1"/>
    <col min="11789" max="11789" width="23" style="1" customWidth="1"/>
    <col min="11790" max="11800" width="12.5" style="1" customWidth="1"/>
    <col min="11801" max="11801" width="4" style="1" bestFit="1" customWidth="1"/>
    <col min="11802" max="11802" width="3.125" style="1" customWidth="1"/>
    <col min="11803" max="11803" width="10.25" style="1" bestFit="1" customWidth="1"/>
    <col min="11804" max="11804" width="10.875" style="1" customWidth="1"/>
    <col min="11805" max="11808" width="10.625" style="1" customWidth="1"/>
    <col min="11809" max="11809" width="2.5" style="1" customWidth="1"/>
    <col min="11810" max="11810" width="19" style="1" customWidth="1"/>
    <col min="11811" max="11811" width="8" style="1" customWidth="1"/>
    <col min="11812" max="11812" width="9.625" style="1" customWidth="1"/>
    <col min="11813" max="11814" width="11.125" style="1" customWidth="1"/>
    <col min="11815" max="11821" width="12.625" style="1" customWidth="1"/>
    <col min="11822" max="12044" width="8.875" style="1"/>
    <col min="12045" max="12045" width="23" style="1" customWidth="1"/>
    <col min="12046" max="12056" width="12.5" style="1" customWidth="1"/>
    <col min="12057" max="12057" width="4" style="1" bestFit="1" customWidth="1"/>
    <col min="12058" max="12058" width="3.125" style="1" customWidth="1"/>
    <col min="12059" max="12059" width="10.25" style="1" bestFit="1" customWidth="1"/>
    <col min="12060" max="12060" width="10.875" style="1" customWidth="1"/>
    <col min="12061" max="12064" width="10.625" style="1" customWidth="1"/>
    <col min="12065" max="12065" width="2.5" style="1" customWidth="1"/>
    <col min="12066" max="12066" width="19" style="1" customWidth="1"/>
    <col min="12067" max="12067" width="8" style="1" customWidth="1"/>
    <col min="12068" max="12068" width="9.625" style="1" customWidth="1"/>
    <col min="12069" max="12070" width="11.125" style="1" customWidth="1"/>
    <col min="12071" max="12077" width="12.625" style="1" customWidth="1"/>
    <col min="12078" max="12300" width="8.875" style="1"/>
    <col min="12301" max="12301" width="23" style="1" customWidth="1"/>
    <col min="12302" max="12312" width="12.5" style="1" customWidth="1"/>
    <col min="12313" max="12313" width="4" style="1" bestFit="1" customWidth="1"/>
    <col min="12314" max="12314" width="3.125" style="1" customWidth="1"/>
    <col min="12315" max="12315" width="10.25" style="1" bestFit="1" customWidth="1"/>
    <col min="12316" max="12316" width="10.875" style="1" customWidth="1"/>
    <col min="12317" max="12320" width="10.625" style="1" customWidth="1"/>
    <col min="12321" max="12321" width="2.5" style="1" customWidth="1"/>
    <col min="12322" max="12322" width="19" style="1" customWidth="1"/>
    <col min="12323" max="12323" width="8" style="1" customWidth="1"/>
    <col min="12324" max="12324" width="9.625" style="1" customWidth="1"/>
    <col min="12325" max="12326" width="11.125" style="1" customWidth="1"/>
    <col min="12327" max="12333" width="12.625" style="1" customWidth="1"/>
    <col min="12334" max="12556" width="8.875" style="1"/>
    <col min="12557" max="12557" width="23" style="1" customWidth="1"/>
    <col min="12558" max="12568" width="12.5" style="1" customWidth="1"/>
    <col min="12569" max="12569" width="4" style="1" bestFit="1" customWidth="1"/>
    <col min="12570" max="12570" width="3.125" style="1" customWidth="1"/>
    <col min="12571" max="12571" width="10.25" style="1" bestFit="1" customWidth="1"/>
    <col min="12572" max="12572" width="10.875" style="1" customWidth="1"/>
    <col min="12573" max="12576" width="10.625" style="1" customWidth="1"/>
    <col min="12577" max="12577" width="2.5" style="1" customWidth="1"/>
    <col min="12578" max="12578" width="19" style="1" customWidth="1"/>
    <col min="12579" max="12579" width="8" style="1" customWidth="1"/>
    <col min="12580" max="12580" width="9.625" style="1" customWidth="1"/>
    <col min="12581" max="12582" width="11.125" style="1" customWidth="1"/>
    <col min="12583" max="12589" width="12.625" style="1" customWidth="1"/>
    <col min="12590" max="12812" width="8.875" style="1"/>
    <col min="12813" max="12813" width="23" style="1" customWidth="1"/>
    <col min="12814" max="12824" width="12.5" style="1" customWidth="1"/>
    <col min="12825" max="12825" width="4" style="1" bestFit="1" customWidth="1"/>
    <col min="12826" max="12826" width="3.125" style="1" customWidth="1"/>
    <col min="12827" max="12827" width="10.25" style="1" bestFit="1" customWidth="1"/>
    <col min="12828" max="12828" width="10.875" style="1" customWidth="1"/>
    <col min="12829" max="12832" width="10.625" style="1" customWidth="1"/>
    <col min="12833" max="12833" width="2.5" style="1" customWidth="1"/>
    <col min="12834" max="12834" width="19" style="1" customWidth="1"/>
    <col min="12835" max="12835" width="8" style="1" customWidth="1"/>
    <col min="12836" max="12836" width="9.625" style="1" customWidth="1"/>
    <col min="12837" max="12838" width="11.125" style="1" customWidth="1"/>
    <col min="12839" max="12845" width="12.625" style="1" customWidth="1"/>
    <col min="12846" max="13068" width="8.875" style="1"/>
    <col min="13069" max="13069" width="23" style="1" customWidth="1"/>
    <col min="13070" max="13080" width="12.5" style="1" customWidth="1"/>
    <col min="13081" max="13081" width="4" style="1" bestFit="1" customWidth="1"/>
    <col min="13082" max="13082" width="3.125" style="1" customWidth="1"/>
    <col min="13083" max="13083" width="10.25" style="1" bestFit="1" customWidth="1"/>
    <col min="13084" max="13084" width="10.875" style="1" customWidth="1"/>
    <col min="13085" max="13088" width="10.625" style="1" customWidth="1"/>
    <col min="13089" max="13089" width="2.5" style="1" customWidth="1"/>
    <col min="13090" max="13090" width="19" style="1" customWidth="1"/>
    <col min="13091" max="13091" width="8" style="1" customWidth="1"/>
    <col min="13092" max="13092" width="9.625" style="1" customWidth="1"/>
    <col min="13093" max="13094" width="11.125" style="1" customWidth="1"/>
    <col min="13095" max="13101" width="12.625" style="1" customWidth="1"/>
    <col min="13102" max="13324" width="8.875" style="1"/>
    <col min="13325" max="13325" width="23" style="1" customWidth="1"/>
    <col min="13326" max="13336" width="12.5" style="1" customWidth="1"/>
    <col min="13337" max="13337" width="4" style="1" bestFit="1" customWidth="1"/>
    <col min="13338" max="13338" width="3.125" style="1" customWidth="1"/>
    <col min="13339" max="13339" width="10.25" style="1" bestFit="1" customWidth="1"/>
    <col min="13340" max="13340" width="10.875" style="1" customWidth="1"/>
    <col min="13341" max="13344" width="10.625" style="1" customWidth="1"/>
    <col min="13345" max="13345" width="2.5" style="1" customWidth="1"/>
    <col min="13346" max="13346" width="19" style="1" customWidth="1"/>
    <col min="13347" max="13347" width="8" style="1" customWidth="1"/>
    <col min="13348" max="13348" width="9.625" style="1" customWidth="1"/>
    <col min="13349" max="13350" width="11.125" style="1" customWidth="1"/>
    <col min="13351" max="13357" width="12.625" style="1" customWidth="1"/>
    <col min="13358" max="13580" width="8.875" style="1"/>
    <col min="13581" max="13581" width="23" style="1" customWidth="1"/>
    <col min="13582" max="13592" width="12.5" style="1" customWidth="1"/>
    <col min="13593" max="13593" width="4" style="1" bestFit="1" customWidth="1"/>
    <col min="13594" max="13594" width="3.125" style="1" customWidth="1"/>
    <col min="13595" max="13595" width="10.25" style="1" bestFit="1" customWidth="1"/>
    <col min="13596" max="13596" width="10.875" style="1" customWidth="1"/>
    <col min="13597" max="13600" width="10.625" style="1" customWidth="1"/>
    <col min="13601" max="13601" width="2.5" style="1" customWidth="1"/>
    <col min="13602" max="13602" width="19" style="1" customWidth="1"/>
    <col min="13603" max="13603" width="8" style="1" customWidth="1"/>
    <col min="13604" max="13604" width="9.625" style="1" customWidth="1"/>
    <col min="13605" max="13606" width="11.125" style="1" customWidth="1"/>
    <col min="13607" max="13613" width="12.625" style="1" customWidth="1"/>
    <col min="13614" max="13836" width="8.875" style="1"/>
    <col min="13837" max="13837" width="23" style="1" customWidth="1"/>
    <col min="13838" max="13848" width="12.5" style="1" customWidth="1"/>
    <col min="13849" max="13849" width="4" style="1" bestFit="1" customWidth="1"/>
    <col min="13850" max="13850" width="3.125" style="1" customWidth="1"/>
    <col min="13851" max="13851" width="10.25" style="1" bestFit="1" customWidth="1"/>
    <col min="13852" max="13852" width="10.875" style="1" customWidth="1"/>
    <col min="13853" max="13856" width="10.625" style="1" customWidth="1"/>
    <col min="13857" max="13857" width="2.5" style="1" customWidth="1"/>
    <col min="13858" max="13858" width="19" style="1" customWidth="1"/>
    <col min="13859" max="13859" width="8" style="1" customWidth="1"/>
    <col min="13860" max="13860" width="9.625" style="1" customWidth="1"/>
    <col min="13861" max="13862" width="11.125" style="1" customWidth="1"/>
    <col min="13863" max="13869" width="12.625" style="1" customWidth="1"/>
    <col min="13870" max="14092" width="8.875" style="1"/>
    <col min="14093" max="14093" width="23" style="1" customWidth="1"/>
    <col min="14094" max="14104" width="12.5" style="1" customWidth="1"/>
    <col min="14105" max="14105" width="4" style="1" bestFit="1" customWidth="1"/>
    <col min="14106" max="14106" width="3.125" style="1" customWidth="1"/>
    <col min="14107" max="14107" width="10.25" style="1" bestFit="1" customWidth="1"/>
    <col min="14108" max="14108" width="10.875" style="1" customWidth="1"/>
    <col min="14109" max="14112" width="10.625" style="1" customWidth="1"/>
    <col min="14113" max="14113" width="2.5" style="1" customWidth="1"/>
    <col min="14114" max="14114" width="19" style="1" customWidth="1"/>
    <col min="14115" max="14115" width="8" style="1" customWidth="1"/>
    <col min="14116" max="14116" width="9.625" style="1" customWidth="1"/>
    <col min="14117" max="14118" width="11.125" style="1" customWidth="1"/>
    <col min="14119" max="14125" width="12.625" style="1" customWidth="1"/>
    <col min="14126" max="14348" width="8.875" style="1"/>
    <col min="14349" max="14349" width="23" style="1" customWidth="1"/>
    <col min="14350" max="14360" width="12.5" style="1" customWidth="1"/>
    <col min="14361" max="14361" width="4" style="1" bestFit="1" customWidth="1"/>
    <col min="14362" max="14362" width="3.125" style="1" customWidth="1"/>
    <col min="14363" max="14363" width="10.25" style="1" bestFit="1" customWidth="1"/>
    <col min="14364" max="14364" width="10.875" style="1" customWidth="1"/>
    <col min="14365" max="14368" width="10.625" style="1" customWidth="1"/>
    <col min="14369" max="14369" width="2.5" style="1" customWidth="1"/>
    <col min="14370" max="14370" width="19" style="1" customWidth="1"/>
    <col min="14371" max="14371" width="8" style="1" customWidth="1"/>
    <col min="14372" max="14372" width="9.625" style="1" customWidth="1"/>
    <col min="14373" max="14374" width="11.125" style="1" customWidth="1"/>
    <col min="14375" max="14381" width="12.625" style="1" customWidth="1"/>
    <col min="14382" max="14604" width="8.875" style="1"/>
    <col min="14605" max="14605" width="23" style="1" customWidth="1"/>
    <col min="14606" max="14616" width="12.5" style="1" customWidth="1"/>
    <col min="14617" max="14617" width="4" style="1" bestFit="1" customWidth="1"/>
    <col min="14618" max="14618" width="3.125" style="1" customWidth="1"/>
    <col min="14619" max="14619" width="10.25" style="1" bestFit="1" customWidth="1"/>
    <col min="14620" max="14620" width="10.875" style="1" customWidth="1"/>
    <col min="14621" max="14624" width="10.625" style="1" customWidth="1"/>
    <col min="14625" max="14625" width="2.5" style="1" customWidth="1"/>
    <col min="14626" max="14626" width="19" style="1" customWidth="1"/>
    <col min="14627" max="14627" width="8" style="1" customWidth="1"/>
    <col min="14628" max="14628" width="9.625" style="1" customWidth="1"/>
    <col min="14629" max="14630" width="11.125" style="1" customWidth="1"/>
    <col min="14631" max="14637" width="12.625" style="1" customWidth="1"/>
    <col min="14638" max="14860" width="8.875" style="1"/>
    <col min="14861" max="14861" width="23" style="1" customWidth="1"/>
    <col min="14862" max="14872" width="12.5" style="1" customWidth="1"/>
    <col min="14873" max="14873" width="4" style="1" bestFit="1" customWidth="1"/>
    <col min="14874" max="14874" width="3.125" style="1" customWidth="1"/>
    <col min="14875" max="14875" width="10.25" style="1" bestFit="1" customWidth="1"/>
    <col min="14876" max="14876" width="10.875" style="1" customWidth="1"/>
    <col min="14877" max="14880" width="10.625" style="1" customWidth="1"/>
    <col min="14881" max="14881" width="2.5" style="1" customWidth="1"/>
    <col min="14882" max="14882" width="19" style="1" customWidth="1"/>
    <col min="14883" max="14883" width="8" style="1" customWidth="1"/>
    <col min="14884" max="14884" width="9.625" style="1" customWidth="1"/>
    <col min="14885" max="14886" width="11.125" style="1" customWidth="1"/>
    <col min="14887" max="14893" width="12.625" style="1" customWidth="1"/>
    <col min="14894" max="15116" width="8.875" style="1"/>
    <col min="15117" max="15117" width="23" style="1" customWidth="1"/>
    <col min="15118" max="15128" width="12.5" style="1" customWidth="1"/>
    <col min="15129" max="15129" width="4" style="1" bestFit="1" customWidth="1"/>
    <col min="15130" max="15130" width="3.125" style="1" customWidth="1"/>
    <col min="15131" max="15131" width="10.25" style="1" bestFit="1" customWidth="1"/>
    <col min="15132" max="15132" width="10.875" style="1" customWidth="1"/>
    <col min="15133" max="15136" width="10.625" style="1" customWidth="1"/>
    <col min="15137" max="15137" width="2.5" style="1" customWidth="1"/>
    <col min="15138" max="15138" width="19" style="1" customWidth="1"/>
    <col min="15139" max="15139" width="8" style="1" customWidth="1"/>
    <col min="15140" max="15140" width="9.625" style="1" customWidth="1"/>
    <col min="15141" max="15142" width="11.125" style="1" customWidth="1"/>
    <col min="15143" max="15149" width="12.625" style="1" customWidth="1"/>
    <col min="15150" max="15372" width="8.875" style="1"/>
    <col min="15373" max="15373" width="23" style="1" customWidth="1"/>
    <col min="15374" max="15384" width="12.5" style="1" customWidth="1"/>
    <col min="15385" max="15385" width="4" style="1" bestFit="1" customWidth="1"/>
    <col min="15386" max="15386" width="3.125" style="1" customWidth="1"/>
    <col min="15387" max="15387" width="10.25" style="1" bestFit="1" customWidth="1"/>
    <col min="15388" max="15388" width="10.875" style="1" customWidth="1"/>
    <col min="15389" max="15392" width="10.625" style="1" customWidth="1"/>
    <col min="15393" max="15393" width="2.5" style="1" customWidth="1"/>
    <col min="15394" max="15394" width="19" style="1" customWidth="1"/>
    <col min="15395" max="15395" width="8" style="1" customWidth="1"/>
    <col min="15396" max="15396" width="9.625" style="1" customWidth="1"/>
    <col min="15397" max="15398" width="11.125" style="1" customWidth="1"/>
    <col min="15399" max="15405" width="12.625" style="1" customWidth="1"/>
    <col min="15406" max="15628" width="8.875" style="1"/>
    <col min="15629" max="15629" width="23" style="1" customWidth="1"/>
    <col min="15630" max="15640" width="12.5" style="1" customWidth="1"/>
    <col min="15641" max="15641" width="4" style="1" bestFit="1" customWidth="1"/>
    <col min="15642" max="15642" width="3.125" style="1" customWidth="1"/>
    <col min="15643" max="15643" width="10.25" style="1" bestFit="1" customWidth="1"/>
    <col min="15644" max="15644" width="10.875" style="1" customWidth="1"/>
    <col min="15645" max="15648" width="10.625" style="1" customWidth="1"/>
    <col min="15649" max="15649" width="2.5" style="1" customWidth="1"/>
    <col min="15650" max="15650" width="19" style="1" customWidth="1"/>
    <col min="15651" max="15651" width="8" style="1" customWidth="1"/>
    <col min="15652" max="15652" width="9.625" style="1" customWidth="1"/>
    <col min="15653" max="15654" width="11.125" style="1" customWidth="1"/>
    <col min="15655" max="15661" width="12.625" style="1" customWidth="1"/>
    <col min="15662" max="15884" width="8.875" style="1"/>
    <col min="15885" max="15885" width="23" style="1" customWidth="1"/>
    <col min="15886" max="15896" width="12.5" style="1" customWidth="1"/>
    <col min="15897" max="15897" width="4" style="1" bestFit="1" customWidth="1"/>
    <col min="15898" max="15898" width="3.125" style="1" customWidth="1"/>
    <col min="15899" max="15899" width="10.25" style="1" bestFit="1" customWidth="1"/>
    <col min="15900" max="15900" width="10.875" style="1" customWidth="1"/>
    <col min="15901" max="15904" width="10.625" style="1" customWidth="1"/>
    <col min="15905" max="15905" width="2.5" style="1" customWidth="1"/>
    <col min="15906" max="15906" width="19" style="1" customWidth="1"/>
    <col min="15907" max="15907" width="8" style="1" customWidth="1"/>
    <col min="15908" max="15908" width="9.625" style="1" customWidth="1"/>
    <col min="15909" max="15910" width="11.125" style="1" customWidth="1"/>
    <col min="15911" max="15917" width="12.625" style="1" customWidth="1"/>
    <col min="15918" max="16140" width="8.875" style="1"/>
    <col min="16141" max="16141" width="23" style="1" customWidth="1"/>
    <col min="16142" max="16152" width="12.5" style="1" customWidth="1"/>
    <col min="16153" max="16153" width="4" style="1" bestFit="1" customWidth="1"/>
    <col min="16154" max="16154" width="3.125" style="1" customWidth="1"/>
    <col min="16155" max="16155" width="10.25" style="1" bestFit="1" customWidth="1"/>
    <col min="16156" max="16156" width="10.875" style="1" customWidth="1"/>
    <col min="16157" max="16160" width="10.625" style="1" customWidth="1"/>
    <col min="16161" max="16161" width="2.5" style="1" customWidth="1"/>
    <col min="16162" max="16162" width="19" style="1" customWidth="1"/>
    <col min="16163" max="16163" width="8" style="1" customWidth="1"/>
    <col min="16164" max="16164" width="9.625" style="1" customWidth="1"/>
    <col min="16165" max="16166" width="11.125" style="1" customWidth="1"/>
    <col min="16167" max="16173" width="12.625" style="1" customWidth="1"/>
    <col min="16174" max="16384" width="8.875" style="1"/>
  </cols>
  <sheetData>
    <row r="1" spans="1:43" ht="15" customHeight="1" thickBot="1">
      <c r="A1" s="315" t="s">
        <v>1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Y1" s="12"/>
      <c r="Z1" s="13"/>
      <c r="AA1" s="6"/>
      <c r="AM1" s="1" t="s">
        <v>2</v>
      </c>
    </row>
    <row r="2" spans="1:43" ht="15" customHeight="1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6" t="s">
        <v>3</v>
      </c>
      <c r="X2" s="317"/>
      <c r="Y2" s="21">
        <f>入力欄!D12</f>
        <v>0</v>
      </c>
      <c r="Z2" s="14" t="s">
        <v>4</v>
      </c>
      <c r="AA2" s="6"/>
      <c r="AH2" s="318" t="str">
        <f>IF(Y2&gt;0,IF(Y2=1,"夫婦","多妻?"),"独身")</f>
        <v>独身</v>
      </c>
      <c r="AI2" s="318"/>
      <c r="AM2" s="7"/>
      <c r="AN2" s="307" t="s">
        <v>5</v>
      </c>
      <c r="AO2" s="307"/>
      <c r="AP2" s="307" t="s">
        <v>6</v>
      </c>
      <c r="AQ2" s="307"/>
    </row>
    <row r="3" spans="1:43" ht="15" customHeight="1" thickBot="1">
      <c r="A3" s="15" t="s">
        <v>43</v>
      </c>
      <c r="B3" s="16">
        <v>31</v>
      </c>
      <c r="C3" s="17" t="s">
        <v>42</v>
      </c>
      <c r="W3" s="319" t="s">
        <v>7</v>
      </c>
      <c r="X3" s="320"/>
      <c r="Y3" s="18"/>
      <c r="Z3" s="19"/>
      <c r="AA3" s="6"/>
      <c r="AC3" s="13" t="s">
        <v>8</v>
      </c>
      <c r="AD3" s="13"/>
      <c r="AE3" s="13" t="s">
        <v>9</v>
      </c>
      <c r="AF3" s="13"/>
      <c r="AH3" s="318"/>
      <c r="AI3" s="318"/>
      <c r="AM3" s="7"/>
      <c r="AN3" s="20" t="s">
        <v>10</v>
      </c>
      <c r="AO3" s="8" t="s">
        <v>11</v>
      </c>
      <c r="AP3" s="20" t="s">
        <v>11</v>
      </c>
      <c r="AQ3" s="20" t="s">
        <v>9</v>
      </c>
    </row>
    <row r="4" spans="1:43" ht="15" customHeight="1" thickBot="1">
      <c r="W4" s="308" t="str">
        <f>IF(B3&gt;23,"16歳未満","")</f>
        <v>16歳未満</v>
      </c>
      <c r="X4" s="309"/>
      <c r="Y4" s="21">
        <f>入力欄!D15</f>
        <v>0</v>
      </c>
      <c r="Z4" s="22" t="s">
        <v>4</v>
      </c>
      <c r="AA4" s="23"/>
      <c r="AC4" s="24" t="s">
        <v>12</v>
      </c>
      <c r="AD4" s="25"/>
      <c r="AE4" s="24" t="s">
        <v>12</v>
      </c>
      <c r="AF4" s="14"/>
      <c r="AH4" s="310" t="str">
        <f>IF((Y5+Y6+Y7)&gt;0,"控除対象扶養","")</f>
        <v/>
      </c>
      <c r="AI4" s="310" t="str">
        <f>IF((Y5+Y6+Y7)&gt;0,(Y5+Y6+Y7),"")</f>
        <v/>
      </c>
      <c r="AM4" s="2" t="s">
        <v>13</v>
      </c>
      <c r="AN4" s="26">
        <v>1000000</v>
      </c>
      <c r="AO4" s="27">
        <v>1000000</v>
      </c>
      <c r="AP4" s="4">
        <v>1088888</v>
      </c>
      <c r="AQ4" s="26">
        <v>1144444</v>
      </c>
    </row>
    <row r="5" spans="1:43" ht="15" customHeight="1" thickBot="1">
      <c r="W5" s="308" t="str">
        <f>IF(B3&gt;23,"16歳以上19歳未満","扶養親族")</f>
        <v>16歳以上19歳未満</v>
      </c>
      <c r="X5" s="309"/>
      <c r="Y5" s="21">
        <f>入力欄!D16</f>
        <v>0</v>
      </c>
      <c r="Z5" s="22" t="s">
        <v>4</v>
      </c>
      <c r="AA5" s="23"/>
      <c r="AC5" s="28" t="s">
        <v>15</v>
      </c>
      <c r="AD5" s="29"/>
      <c r="AE5" s="28" t="s">
        <v>15</v>
      </c>
      <c r="AF5" s="29"/>
      <c r="AH5" s="310"/>
      <c r="AI5" s="310"/>
      <c r="AM5" s="2" t="s">
        <v>16</v>
      </c>
      <c r="AN5" s="26">
        <v>1570000</v>
      </c>
      <c r="AO5" s="30">
        <v>1750000</v>
      </c>
      <c r="AP5" s="31">
        <v>1455555</v>
      </c>
      <c r="AQ5" s="26">
        <v>1566666</v>
      </c>
    </row>
    <row r="6" spans="1:43" ht="15" customHeight="1" thickBot="1">
      <c r="V6" s="32"/>
      <c r="W6" s="311" t="str">
        <f>IF(B3&gt;23,"19歳以上23歳未満","特定扶養親族")</f>
        <v>19歳以上23歳未満</v>
      </c>
      <c r="X6" s="312"/>
      <c r="Y6" s="21">
        <f>入力欄!D17</f>
        <v>0</v>
      </c>
      <c r="Z6" s="22" t="s">
        <v>4</v>
      </c>
      <c r="AA6" s="23"/>
      <c r="AC6" s="28">
        <v>0</v>
      </c>
      <c r="AD6" s="33">
        <v>0</v>
      </c>
      <c r="AE6" s="28">
        <v>0</v>
      </c>
      <c r="AF6" s="33">
        <v>0</v>
      </c>
      <c r="AH6" s="310" t="str">
        <f>IF(Y6&gt;0,"うち特定扶養","")</f>
        <v/>
      </c>
      <c r="AI6" s="310" t="str">
        <f>IF(Y6&gt;0,Y6,"")</f>
        <v/>
      </c>
      <c r="AM6" s="2" t="s">
        <v>17</v>
      </c>
      <c r="AN6" s="26">
        <v>2071428</v>
      </c>
      <c r="AO6" s="5">
        <v>2257142</v>
      </c>
      <c r="AP6" s="3">
        <v>1950000</v>
      </c>
      <c r="AQ6" s="26">
        <v>2200000</v>
      </c>
    </row>
    <row r="7" spans="1:43" ht="15" customHeight="1" thickBot="1">
      <c r="B7" s="34"/>
      <c r="C7" s="35"/>
      <c r="V7" s="36"/>
      <c r="W7" s="313" t="str">
        <f>IF(B3&gt;23,"23歳以上","")</f>
        <v>23歳以上</v>
      </c>
      <c r="X7" s="314"/>
      <c r="Y7" s="37">
        <f>入力欄!D18</f>
        <v>0</v>
      </c>
      <c r="Z7" s="38" t="s">
        <v>4</v>
      </c>
      <c r="AA7" s="6"/>
      <c r="AC7" s="28">
        <v>1625001</v>
      </c>
      <c r="AD7" s="33">
        <v>0.4</v>
      </c>
      <c r="AE7" s="28">
        <v>1625001</v>
      </c>
      <c r="AF7" s="33">
        <v>0.4</v>
      </c>
      <c r="AH7" s="310"/>
      <c r="AI7" s="310"/>
      <c r="AM7" s="2" t="s">
        <v>18</v>
      </c>
      <c r="AN7" s="26">
        <v>2571428</v>
      </c>
      <c r="AO7" s="39">
        <v>2757142</v>
      </c>
      <c r="AP7" s="3">
        <v>2700000</v>
      </c>
      <c r="AQ7" s="26">
        <v>3250000</v>
      </c>
    </row>
    <row r="8" spans="1:43" ht="15" customHeight="1" thickBot="1">
      <c r="A8" s="1" t="s">
        <v>53</v>
      </c>
      <c r="X8" s="1" t="s">
        <v>14</v>
      </c>
      <c r="AC8" s="28">
        <v>1800001</v>
      </c>
      <c r="AD8" s="33">
        <v>0.3</v>
      </c>
      <c r="AE8" s="28">
        <v>1800001</v>
      </c>
      <c r="AF8" s="33">
        <v>0.3</v>
      </c>
    </row>
    <row r="9" spans="1:43" ht="15" customHeight="1" thickTop="1">
      <c r="A9" s="40" t="s">
        <v>0</v>
      </c>
      <c r="B9" s="41">
        <v>7000000</v>
      </c>
      <c r="C9" s="42">
        <v>7000000</v>
      </c>
      <c r="D9" s="43"/>
      <c r="E9" s="44">
        <v>11000000</v>
      </c>
      <c r="F9" s="45">
        <v>12000000</v>
      </c>
      <c r="G9" s="45">
        <v>13000000</v>
      </c>
      <c r="H9" s="45">
        <v>14000000</v>
      </c>
      <c r="I9" s="45">
        <v>15000000</v>
      </c>
      <c r="J9" s="45">
        <v>16000000</v>
      </c>
      <c r="K9" s="45">
        <v>17000000</v>
      </c>
      <c r="L9" s="45">
        <v>18000000</v>
      </c>
      <c r="M9" s="45">
        <v>19000000</v>
      </c>
      <c r="N9" s="45">
        <v>20000000</v>
      </c>
      <c r="O9" s="45">
        <v>21000000</v>
      </c>
      <c r="P9" s="45">
        <v>22000000</v>
      </c>
      <c r="Q9" s="45">
        <v>23000000</v>
      </c>
      <c r="R9" s="45">
        <v>24000000</v>
      </c>
      <c r="S9" s="45">
        <v>25000000</v>
      </c>
      <c r="T9" s="45"/>
      <c r="U9" s="45"/>
      <c r="V9" s="45"/>
      <c r="W9" s="46">
        <f>入力欄!D7</f>
        <v>0</v>
      </c>
      <c r="X9" s="212">
        <v>300000000</v>
      </c>
      <c r="Y9" s="47"/>
      <c r="Z9" s="47"/>
      <c r="AA9" s="47"/>
      <c r="AC9" s="28">
        <v>3600001</v>
      </c>
      <c r="AD9" s="33">
        <v>0.2</v>
      </c>
      <c r="AE9" s="28">
        <v>3600001</v>
      </c>
      <c r="AF9" s="33">
        <v>0.2</v>
      </c>
    </row>
    <row r="10" spans="1:43" ht="15" customHeight="1">
      <c r="A10" s="48" t="s">
        <v>12</v>
      </c>
      <c r="B10" s="49">
        <f>B9*VLOOKUP(B9,$AC$6:$AD$12,2)+VLOOKUP(B9,$AC$14:$AD$20,2)</f>
        <v>1900000</v>
      </c>
      <c r="C10" s="49">
        <f t="shared" ref="C10:U10" si="0">C9*VLOOKUP(C9,$AC$6:$AD$12,2)+VLOOKUP(C9,$AC$14:$AD$20,2)</f>
        <v>1900000</v>
      </c>
      <c r="D10" s="49">
        <f t="shared" si="0"/>
        <v>650000</v>
      </c>
      <c r="E10" s="49">
        <f t="shared" si="0"/>
        <v>2200000</v>
      </c>
      <c r="F10" s="49">
        <f t="shared" si="0"/>
        <v>2200000</v>
      </c>
      <c r="G10" s="49">
        <f t="shared" si="0"/>
        <v>2200000</v>
      </c>
      <c r="H10" s="49">
        <f t="shared" si="0"/>
        <v>2200000</v>
      </c>
      <c r="I10" s="49">
        <f t="shared" si="0"/>
        <v>2200000</v>
      </c>
      <c r="J10" s="49">
        <f t="shared" si="0"/>
        <v>2200000</v>
      </c>
      <c r="K10" s="49">
        <f t="shared" si="0"/>
        <v>2200000</v>
      </c>
      <c r="L10" s="49">
        <f t="shared" si="0"/>
        <v>2200000</v>
      </c>
      <c r="M10" s="49">
        <f t="shared" si="0"/>
        <v>2200000</v>
      </c>
      <c r="N10" s="49">
        <f t="shared" si="0"/>
        <v>2200000</v>
      </c>
      <c r="O10" s="49">
        <f t="shared" si="0"/>
        <v>2200000</v>
      </c>
      <c r="P10" s="49">
        <f t="shared" si="0"/>
        <v>2200000</v>
      </c>
      <c r="Q10" s="49">
        <f t="shared" si="0"/>
        <v>2200000</v>
      </c>
      <c r="R10" s="49">
        <f t="shared" si="0"/>
        <v>2200000</v>
      </c>
      <c r="S10" s="49">
        <f t="shared" si="0"/>
        <v>2200000</v>
      </c>
      <c r="T10" s="6"/>
      <c r="U10" s="49">
        <f t="shared" si="0"/>
        <v>650000</v>
      </c>
      <c r="V10" s="49">
        <f t="shared" ref="V10" si="1">V9*VLOOKUP(V9,$AC$6:$AD$12,2)+VLOOKUP(V9,$AC$14:$AD$20,2)</f>
        <v>650000</v>
      </c>
      <c r="W10" s="49">
        <f t="shared" ref="W10" si="2">W9*VLOOKUP(W9,$AC$6:$AD$12,2)+VLOOKUP(W9,$AC$14:$AD$20,2)</f>
        <v>650000</v>
      </c>
      <c r="X10" s="213">
        <f>X9*VLOOKUP(X9,$AC$6:$AD$11,2)+VLOOKUP(X9,$AC$14:$AD$19,2)</f>
        <v>31200000</v>
      </c>
      <c r="Y10" s="6"/>
      <c r="Z10" s="6"/>
      <c r="AA10" s="6"/>
      <c r="AC10" s="28">
        <v>6600001</v>
      </c>
      <c r="AD10" s="33">
        <v>0.1</v>
      </c>
      <c r="AE10" s="28">
        <v>6600001</v>
      </c>
      <c r="AF10" s="33">
        <v>0.1</v>
      </c>
    </row>
    <row r="11" spans="1:43" ht="15" customHeight="1">
      <c r="A11" s="48" t="s">
        <v>19</v>
      </c>
      <c r="B11" s="49">
        <f t="shared" ref="B11:X11" si="3">B9-B10</f>
        <v>5100000</v>
      </c>
      <c r="C11" s="50">
        <f>C9-C10</f>
        <v>5100000</v>
      </c>
      <c r="D11" s="52">
        <f>D9-D10</f>
        <v>-650000</v>
      </c>
      <c r="E11" s="53">
        <f t="shared" ref="E11:U11" si="4">E9-E10</f>
        <v>8800000</v>
      </c>
      <c r="F11" s="52">
        <f t="shared" ref="F11:S11" si="5">F9-F10</f>
        <v>9800000</v>
      </c>
      <c r="G11" s="52">
        <f t="shared" si="5"/>
        <v>10800000</v>
      </c>
      <c r="H11" s="52">
        <f t="shared" ref="H11:R11" si="6">H9-H10</f>
        <v>11800000</v>
      </c>
      <c r="I11" s="52">
        <f t="shared" si="6"/>
        <v>12800000</v>
      </c>
      <c r="J11" s="52">
        <f t="shared" si="6"/>
        <v>13800000</v>
      </c>
      <c r="K11" s="52">
        <f t="shared" si="6"/>
        <v>14800000</v>
      </c>
      <c r="L11" s="52">
        <f t="shared" si="6"/>
        <v>15800000</v>
      </c>
      <c r="M11" s="52">
        <f t="shared" si="6"/>
        <v>16800000</v>
      </c>
      <c r="N11" s="52">
        <f t="shared" si="6"/>
        <v>17800000</v>
      </c>
      <c r="O11" s="52">
        <f t="shared" si="6"/>
        <v>18800000</v>
      </c>
      <c r="P11" s="52">
        <f t="shared" si="6"/>
        <v>19800000</v>
      </c>
      <c r="Q11" s="52">
        <f t="shared" si="6"/>
        <v>20800000</v>
      </c>
      <c r="R11" s="52">
        <f t="shared" si="6"/>
        <v>21800000</v>
      </c>
      <c r="S11" s="52">
        <f t="shared" si="5"/>
        <v>22800000</v>
      </c>
      <c r="T11" s="52"/>
      <c r="U11" s="52">
        <f t="shared" si="4"/>
        <v>-650000</v>
      </c>
      <c r="V11" s="52">
        <f t="shared" si="3"/>
        <v>-650000</v>
      </c>
      <c r="W11" s="54">
        <f t="shared" si="3"/>
        <v>-650000</v>
      </c>
      <c r="X11" s="214">
        <f t="shared" si="3"/>
        <v>268800000</v>
      </c>
      <c r="Y11" s="6"/>
      <c r="Z11" s="6"/>
      <c r="AA11" s="6"/>
      <c r="AC11" s="55"/>
      <c r="AD11" s="56"/>
      <c r="AE11" s="55"/>
      <c r="AF11" s="56"/>
    </row>
    <row r="12" spans="1:43" ht="15" customHeight="1">
      <c r="A12" s="57" t="s">
        <v>44</v>
      </c>
      <c r="B12" s="49">
        <f t="shared" ref="B12:S12" si="7">IF(($Y$2+$Y$4+$Y$5+$Y$6+$Y$7)&gt;=1,350000*($Y$2+$Y$4+$Y$5+$Y$6+$Y$7+1)+320000,350000)</f>
        <v>350000</v>
      </c>
      <c r="C12" s="50">
        <f t="shared" si="7"/>
        <v>350000</v>
      </c>
      <c r="D12" s="58">
        <f t="shared" si="7"/>
        <v>350000</v>
      </c>
      <c r="E12" s="59">
        <f t="shared" si="7"/>
        <v>350000</v>
      </c>
      <c r="F12" s="58">
        <f t="shared" si="7"/>
        <v>350000</v>
      </c>
      <c r="G12" s="58">
        <f t="shared" si="7"/>
        <v>350000</v>
      </c>
      <c r="H12" s="58">
        <f t="shared" si="7"/>
        <v>350000</v>
      </c>
      <c r="I12" s="58">
        <f t="shared" si="7"/>
        <v>350000</v>
      </c>
      <c r="J12" s="58">
        <f t="shared" si="7"/>
        <v>350000</v>
      </c>
      <c r="K12" s="58">
        <f t="shared" si="7"/>
        <v>350000</v>
      </c>
      <c r="L12" s="58">
        <f t="shared" si="7"/>
        <v>350000</v>
      </c>
      <c r="M12" s="58">
        <f t="shared" si="7"/>
        <v>350000</v>
      </c>
      <c r="N12" s="58">
        <f t="shared" si="7"/>
        <v>350000</v>
      </c>
      <c r="O12" s="58">
        <f t="shared" si="7"/>
        <v>350000</v>
      </c>
      <c r="P12" s="58">
        <f t="shared" si="7"/>
        <v>350000</v>
      </c>
      <c r="Q12" s="58">
        <f t="shared" si="7"/>
        <v>350000</v>
      </c>
      <c r="R12" s="58">
        <f t="shared" si="7"/>
        <v>350000</v>
      </c>
      <c r="S12" s="58">
        <f t="shared" si="7"/>
        <v>350000</v>
      </c>
      <c r="T12" s="58"/>
      <c r="U12" s="58">
        <f>IF(($Y$2+$Y$4+$Y$5+$Y$6+$Y$7)&gt;=1,350000*($Y$2+$Y$4+$Y$5+$Y$6+$Y$7+1)+320000,350000)</f>
        <v>350000</v>
      </c>
      <c r="V12" s="58">
        <f>IF(($Y$2+$Y$4+$Y$5+$Y$6+$Y$7)&gt;=1,350000*($Y$2+$Y$4+$Y$5+$Y$6+$Y$7+1)+320000,350000)</f>
        <v>350000</v>
      </c>
      <c r="W12" s="60">
        <f>IF(($Y$2+$Y$4+$Y$5+$Y$6+$Y$7)&gt;=1,350000*($Y$2+$Y$4+$Y$5+$Y$6+$Y$7+1)+320000,350000)</f>
        <v>350000</v>
      </c>
      <c r="X12" s="215">
        <f>IF(($Y$2+$Y$4+$Y$5+$Y$6+$Y$7)&gt;=1,350000*($Y$2+$Y$4+$Y$5+$Y$6+$Y$7+1)+320000,350000)</f>
        <v>350000</v>
      </c>
      <c r="Y12" s="6"/>
      <c r="Z12" s="6"/>
      <c r="AA12" s="6"/>
      <c r="AC12" s="279">
        <v>10000001</v>
      </c>
      <c r="AD12" s="61">
        <v>0</v>
      </c>
      <c r="AE12" s="279">
        <v>10000001</v>
      </c>
      <c r="AF12" s="61">
        <v>0</v>
      </c>
    </row>
    <row r="13" spans="1:43" ht="15" customHeight="1">
      <c r="A13" s="57" t="s">
        <v>45</v>
      </c>
      <c r="B13" s="62" t="str">
        <f t="shared" ref="B13:X13" si="8">IF(B11&gt;B12,"所得割課税","所得割非課税")</f>
        <v>所得割課税</v>
      </c>
      <c r="C13" s="63" t="str">
        <f t="shared" si="8"/>
        <v>所得割課税</v>
      </c>
      <c r="D13" s="64" t="str">
        <f t="shared" si="8"/>
        <v>所得割非課税</v>
      </c>
      <c r="E13" s="65" t="str">
        <f t="shared" si="8"/>
        <v>所得割課税</v>
      </c>
      <c r="F13" s="64" t="str">
        <f t="shared" ref="F13:S13" si="9">IF(F11&gt;F12,"所得割課税","所得割非課税")</f>
        <v>所得割課税</v>
      </c>
      <c r="G13" s="64" t="str">
        <f t="shared" si="9"/>
        <v>所得割課税</v>
      </c>
      <c r="H13" s="64" t="str">
        <f t="shared" ref="H13:R13" si="10">IF(H11&gt;H12,"所得割課税","所得割非課税")</f>
        <v>所得割課税</v>
      </c>
      <c r="I13" s="64" t="str">
        <f t="shared" si="10"/>
        <v>所得割課税</v>
      </c>
      <c r="J13" s="64" t="str">
        <f t="shared" si="10"/>
        <v>所得割課税</v>
      </c>
      <c r="K13" s="64" t="str">
        <f t="shared" si="10"/>
        <v>所得割課税</v>
      </c>
      <c r="L13" s="64" t="str">
        <f t="shared" si="10"/>
        <v>所得割課税</v>
      </c>
      <c r="M13" s="64" t="str">
        <f t="shared" si="10"/>
        <v>所得割課税</v>
      </c>
      <c r="N13" s="64" t="str">
        <f t="shared" si="10"/>
        <v>所得割課税</v>
      </c>
      <c r="O13" s="64" t="str">
        <f t="shared" si="10"/>
        <v>所得割課税</v>
      </c>
      <c r="P13" s="64" t="str">
        <f t="shared" si="10"/>
        <v>所得割課税</v>
      </c>
      <c r="Q13" s="64" t="str">
        <f t="shared" si="10"/>
        <v>所得割課税</v>
      </c>
      <c r="R13" s="64" t="str">
        <f t="shared" si="10"/>
        <v>所得割課税</v>
      </c>
      <c r="S13" s="64" t="str">
        <f t="shared" si="9"/>
        <v>所得割課税</v>
      </c>
      <c r="T13" s="64"/>
      <c r="U13" s="64" t="str">
        <f t="shared" si="8"/>
        <v>所得割非課税</v>
      </c>
      <c r="V13" s="64" t="str">
        <f t="shared" si="8"/>
        <v>所得割非課税</v>
      </c>
      <c r="W13" s="66" t="str">
        <f t="shared" si="8"/>
        <v>所得割非課税</v>
      </c>
      <c r="X13" s="216" t="str">
        <f t="shared" si="8"/>
        <v>所得割課税</v>
      </c>
      <c r="Y13" s="6"/>
      <c r="Z13" s="6"/>
      <c r="AA13" s="6"/>
      <c r="AC13" s="67" t="s">
        <v>23</v>
      </c>
      <c r="AD13" s="68"/>
      <c r="AE13" s="67" t="s">
        <v>48</v>
      </c>
      <c r="AF13" s="68"/>
    </row>
    <row r="14" spans="1:43" ht="15" customHeight="1">
      <c r="A14" s="57" t="s">
        <v>46</v>
      </c>
      <c r="B14" s="49">
        <f t="shared" ref="B14:S14" si="11">IF(($Y$2+$Y$4+$Y$5+$Y$6+$Y$7)&gt;=1,350000*($Y$2+$Y$4+$Y$5+$Y$6+$Y$7+1)+210000,350000)</f>
        <v>350000</v>
      </c>
      <c r="C14" s="50">
        <f t="shared" si="11"/>
        <v>350000</v>
      </c>
      <c r="D14" s="58">
        <f t="shared" si="11"/>
        <v>350000</v>
      </c>
      <c r="E14" s="59">
        <f t="shared" si="11"/>
        <v>350000</v>
      </c>
      <c r="F14" s="58">
        <f t="shared" si="11"/>
        <v>350000</v>
      </c>
      <c r="G14" s="58">
        <f t="shared" si="11"/>
        <v>350000</v>
      </c>
      <c r="H14" s="58">
        <f t="shared" si="11"/>
        <v>350000</v>
      </c>
      <c r="I14" s="58">
        <f t="shared" si="11"/>
        <v>350000</v>
      </c>
      <c r="J14" s="58">
        <f t="shared" si="11"/>
        <v>350000</v>
      </c>
      <c r="K14" s="58">
        <f t="shared" si="11"/>
        <v>350000</v>
      </c>
      <c r="L14" s="58">
        <f t="shared" si="11"/>
        <v>350000</v>
      </c>
      <c r="M14" s="58">
        <f t="shared" si="11"/>
        <v>350000</v>
      </c>
      <c r="N14" s="58">
        <f t="shared" si="11"/>
        <v>350000</v>
      </c>
      <c r="O14" s="58">
        <f t="shared" si="11"/>
        <v>350000</v>
      </c>
      <c r="P14" s="58">
        <f t="shared" si="11"/>
        <v>350000</v>
      </c>
      <c r="Q14" s="58">
        <f t="shared" si="11"/>
        <v>350000</v>
      </c>
      <c r="R14" s="58">
        <f t="shared" si="11"/>
        <v>350000</v>
      </c>
      <c r="S14" s="58">
        <f t="shared" si="11"/>
        <v>350000</v>
      </c>
      <c r="T14" s="58"/>
      <c r="U14" s="58">
        <f>IF(($Y$2+$Y$4+$Y$5+$Y$6+$Y$7)&gt;=1,350000*($Y$2+$Y$4+$Y$5+$Y$6+$Y$7+1)+210000,350000)</f>
        <v>350000</v>
      </c>
      <c r="V14" s="58">
        <f>IF(($Y$2+$Y$4+$Y$5+$Y$6+$Y$7)&gt;=1,350000*($Y$2+$Y$4+$Y$5+$Y$6+$Y$7+1)+210000,350000)</f>
        <v>350000</v>
      </c>
      <c r="W14" s="60">
        <f>IF(($Y$2+$Y$4+$Y$5+$Y$6+$Y$7)&gt;=1,350000*($Y$2+$Y$4+$Y$5+$Y$6+$Y$7+1)+210000,350000)</f>
        <v>350000</v>
      </c>
      <c r="X14" s="215">
        <f>IF(($Y$2+$Y$4+$Y$5+$Y$6+$Y$7)&gt;=1,350000*($Y$2+$Y$4+$Y$5+$Y$6+$Y$7+1)+210000,350000)</f>
        <v>350000</v>
      </c>
      <c r="Y14" s="6"/>
      <c r="Z14" s="6"/>
      <c r="AA14" s="6"/>
      <c r="AC14" s="28">
        <v>0</v>
      </c>
      <c r="AD14" s="69">
        <v>650000</v>
      </c>
      <c r="AE14" s="28">
        <v>0</v>
      </c>
      <c r="AF14" s="69">
        <v>650000</v>
      </c>
    </row>
    <row r="15" spans="1:43" ht="15" customHeight="1">
      <c r="A15" s="57" t="s">
        <v>47</v>
      </c>
      <c r="B15" s="62" t="str">
        <f t="shared" ref="B15:X15" si="12">IF(B11&gt;B14,"均等割課税","均等割非課税")</f>
        <v>均等割課税</v>
      </c>
      <c r="C15" s="62" t="str">
        <f t="shared" si="12"/>
        <v>均等割課税</v>
      </c>
      <c r="D15" s="64" t="str">
        <f t="shared" si="12"/>
        <v>均等割非課税</v>
      </c>
      <c r="E15" s="65" t="str">
        <f t="shared" si="12"/>
        <v>均等割課税</v>
      </c>
      <c r="F15" s="64" t="str">
        <f t="shared" ref="F15:S15" si="13">IF(F11&gt;F14,"均等割課税","均等割非課税")</f>
        <v>均等割課税</v>
      </c>
      <c r="G15" s="64" t="str">
        <f t="shared" si="13"/>
        <v>均等割課税</v>
      </c>
      <c r="H15" s="64" t="str">
        <f t="shared" ref="H15:R15" si="14">IF(H11&gt;H14,"均等割課税","均等割非課税")</f>
        <v>均等割課税</v>
      </c>
      <c r="I15" s="64" t="str">
        <f t="shared" si="14"/>
        <v>均等割課税</v>
      </c>
      <c r="J15" s="64" t="str">
        <f t="shared" si="14"/>
        <v>均等割課税</v>
      </c>
      <c r="K15" s="64" t="str">
        <f t="shared" si="14"/>
        <v>均等割課税</v>
      </c>
      <c r="L15" s="64" t="str">
        <f t="shared" si="14"/>
        <v>均等割課税</v>
      </c>
      <c r="M15" s="64" t="str">
        <f t="shared" si="14"/>
        <v>均等割課税</v>
      </c>
      <c r="N15" s="64" t="str">
        <f t="shared" si="14"/>
        <v>均等割課税</v>
      </c>
      <c r="O15" s="64" t="str">
        <f t="shared" si="14"/>
        <v>均等割課税</v>
      </c>
      <c r="P15" s="64" t="str">
        <f t="shared" si="14"/>
        <v>均等割課税</v>
      </c>
      <c r="Q15" s="64" t="str">
        <f t="shared" si="14"/>
        <v>均等割課税</v>
      </c>
      <c r="R15" s="64" t="str">
        <f t="shared" si="14"/>
        <v>均等割課税</v>
      </c>
      <c r="S15" s="64" t="str">
        <f t="shared" si="13"/>
        <v>均等割課税</v>
      </c>
      <c r="T15" s="64"/>
      <c r="U15" s="64" t="str">
        <f t="shared" si="12"/>
        <v>均等割非課税</v>
      </c>
      <c r="V15" s="64" t="str">
        <f t="shared" si="12"/>
        <v>均等割非課税</v>
      </c>
      <c r="W15" s="66" t="str">
        <f t="shared" si="12"/>
        <v>均等割非課税</v>
      </c>
      <c r="X15" s="216" t="str">
        <f t="shared" si="12"/>
        <v>均等割課税</v>
      </c>
      <c r="Y15" s="6"/>
      <c r="Z15" s="6"/>
      <c r="AA15" s="6"/>
      <c r="AC15" s="28">
        <v>1625001</v>
      </c>
      <c r="AD15" s="69">
        <v>0</v>
      </c>
      <c r="AE15" s="28">
        <v>1625001</v>
      </c>
      <c r="AF15" s="69">
        <v>0</v>
      </c>
    </row>
    <row r="16" spans="1:43" ht="15" customHeight="1">
      <c r="A16" s="48"/>
      <c r="B16" s="49"/>
      <c r="C16" s="50"/>
      <c r="D16" s="6"/>
      <c r="E16" s="51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0"/>
      <c r="X16" s="214"/>
      <c r="Y16" s="6"/>
      <c r="Z16" s="6"/>
      <c r="AA16" s="6"/>
      <c r="AC16" s="28">
        <v>1800001</v>
      </c>
      <c r="AD16" s="69">
        <v>180000</v>
      </c>
      <c r="AE16" s="28">
        <v>1800001</v>
      </c>
      <c r="AF16" s="69">
        <v>180000</v>
      </c>
    </row>
    <row r="17" spans="1:32" ht="15" customHeight="1">
      <c r="A17" s="48" t="s">
        <v>20</v>
      </c>
      <c r="B17" s="49">
        <f t="shared" ref="B17:S17" si="15">B9*VLOOKUP(B9,$AC$23:$AD$25,2)+VLOOKUP(B9,$AC$27:$AD$29,2)</f>
        <v>1050000</v>
      </c>
      <c r="C17" s="50">
        <f t="shared" si="15"/>
        <v>1050000</v>
      </c>
      <c r="D17" s="6">
        <f t="shared" si="15"/>
        <v>0</v>
      </c>
      <c r="E17" s="51">
        <f t="shared" si="15"/>
        <v>1410000</v>
      </c>
      <c r="F17" s="6">
        <f t="shared" si="15"/>
        <v>1440000</v>
      </c>
      <c r="G17" s="6">
        <f t="shared" si="15"/>
        <v>1470000</v>
      </c>
      <c r="H17" s="6">
        <f t="shared" si="15"/>
        <v>1500000</v>
      </c>
      <c r="I17" s="6">
        <f t="shared" si="15"/>
        <v>1530000</v>
      </c>
      <c r="J17" s="6">
        <f t="shared" si="15"/>
        <v>1560000</v>
      </c>
      <c r="K17" s="6">
        <f t="shared" si="15"/>
        <v>1590000</v>
      </c>
      <c r="L17" s="6">
        <f t="shared" si="15"/>
        <v>1620000</v>
      </c>
      <c r="M17" s="6">
        <f t="shared" si="15"/>
        <v>1620000</v>
      </c>
      <c r="N17" s="6">
        <f t="shared" si="15"/>
        <v>1620000</v>
      </c>
      <c r="O17" s="6">
        <f t="shared" si="15"/>
        <v>1620000</v>
      </c>
      <c r="P17" s="6">
        <f t="shared" si="15"/>
        <v>1620000</v>
      </c>
      <c r="Q17" s="6">
        <f t="shared" si="15"/>
        <v>1620000</v>
      </c>
      <c r="R17" s="6">
        <f t="shared" si="15"/>
        <v>1620000</v>
      </c>
      <c r="S17" s="6">
        <f t="shared" si="15"/>
        <v>1620000</v>
      </c>
      <c r="T17" s="6"/>
      <c r="U17" s="6">
        <f>U9*VLOOKUP(U9,$AC$23:$AD$25,2)+VLOOKUP(U9,$AC$27:$AD$29,2)</f>
        <v>0</v>
      </c>
      <c r="V17" s="6">
        <f>V9*VLOOKUP(V9,$AC$23:$AD$25,2)+VLOOKUP(V9,$AC$27:$AD$29,2)</f>
        <v>0</v>
      </c>
      <c r="W17" s="70">
        <f>W9*VLOOKUP(W9,$AC$23:$AD$25,2)+VLOOKUP(W9,$AC$27:$AD$29,2)</f>
        <v>0</v>
      </c>
      <c r="X17" s="214">
        <f>X9*VLOOKUP(X9,$AC$23:$AD$25,2)+VLOOKUP(X9,$AC$27:$AD$29,2)</f>
        <v>1620000</v>
      </c>
      <c r="Y17" s="6"/>
      <c r="Z17" s="6"/>
      <c r="AA17" s="6"/>
      <c r="AC17" s="28">
        <v>3600001</v>
      </c>
      <c r="AD17" s="69">
        <v>540000</v>
      </c>
      <c r="AE17" s="28">
        <v>3600001</v>
      </c>
      <c r="AF17" s="69">
        <v>540000</v>
      </c>
    </row>
    <row r="18" spans="1:32" ht="15" customHeight="1">
      <c r="A18" s="278" t="s">
        <v>21</v>
      </c>
      <c r="B18" s="281">
        <f>IF($Y$2=1,IF($B$3&gt;=31,IF(AND($Y$2=1),IF($B$3&gt;=31,IF(B11&gt;9000000,IF(B11&gt;9500000,IF(B11&gt;10000000,0,$AD$32*1/3),$AD$32*2/3),$AD$32),$AD$32),0),$AD$32),0)</f>
        <v>0</v>
      </c>
      <c r="C18" s="281">
        <f t="shared" ref="C18:S18" si="16">IF($Y$2=1,IF($B$3&gt;=31,IF(AND($Y$2=1),IF($B$3&gt;=31,IF(C11&gt;9000000,IF(C11&gt;9500000,IF(C11&gt;10000000,0,$AD$32*1/3),$AD$32*2/3),$AD$32),$AD$32),0),$AD$32),0)</f>
        <v>0</v>
      </c>
      <c r="D18" s="283">
        <f t="shared" si="16"/>
        <v>0</v>
      </c>
      <c r="E18" s="281">
        <f>IF($Y$2=1,IF($B$3&gt;=31,IF(AND($Y$2=1),IF($B$3&gt;=31,IF(E11&gt;9000000,IF(E11&gt;9500000,IF(E11&gt;10000000,0,$AD$32*1/3),$AD$32*2/3),$AD$32),$AD$32),0),$AD$32),0)</f>
        <v>0</v>
      </c>
      <c r="F18" s="281">
        <f>IF($Y$2=1,IF($B$3&gt;=31,IF(AND($Y$2=1),IF($B$3&gt;=31,IF(F11&gt;9000000,IF(F11&gt;9500000,IF(F11&gt;10000000,0,$AD$32*1/3),$AD$32*2/3),$AD$32),$AD$32),0),$AD$32),0)</f>
        <v>0</v>
      </c>
      <c r="G18" s="281">
        <f t="shared" si="16"/>
        <v>0</v>
      </c>
      <c r="H18" s="281">
        <f t="shared" si="16"/>
        <v>0</v>
      </c>
      <c r="I18" s="281">
        <f t="shared" si="16"/>
        <v>0</v>
      </c>
      <c r="J18" s="281">
        <f t="shared" si="16"/>
        <v>0</v>
      </c>
      <c r="K18" s="281">
        <f t="shared" si="16"/>
        <v>0</v>
      </c>
      <c r="L18" s="281">
        <f t="shared" si="16"/>
        <v>0</v>
      </c>
      <c r="M18" s="281">
        <f t="shared" si="16"/>
        <v>0</v>
      </c>
      <c r="N18" s="281">
        <f t="shared" si="16"/>
        <v>0</v>
      </c>
      <c r="O18" s="281">
        <f t="shared" si="16"/>
        <v>0</v>
      </c>
      <c r="P18" s="281">
        <f t="shared" si="16"/>
        <v>0</v>
      </c>
      <c r="Q18" s="281">
        <f t="shared" si="16"/>
        <v>0</v>
      </c>
      <c r="R18" s="281">
        <f t="shared" si="16"/>
        <v>0</v>
      </c>
      <c r="S18" s="281">
        <f t="shared" si="16"/>
        <v>0</v>
      </c>
      <c r="T18" s="6"/>
      <c r="U18" s="281">
        <f t="shared" ref="U18:W18" si="17">IF($Y$2=1,IF($B$3&gt;=30,IF(AND($Y$2=1),IF($B$3&gt;=30,IF(U11&gt;9000000,IF(U11&gt;9500000,IF(U11&gt;10000000,0,$AD$32*1/3),$AD$32*2/3),$AD$32),$AD$32),0),$AD$32),0)</f>
        <v>0</v>
      </c>
      <c r="V18" s="281">
        <f t="shared" si="17"/>
        <v>0</v>
      </c>
      <c r="W18" s="283">
        <f t="shared" si="17"/>
        <v>0</v>
      </c>
      <c r="X18" s="214">
        <f>IF($Y$2=1,$AD$32,0)</f>
        <v>0</v>
      </c>
      <c r="Y18" s="6"/>
      <c r="Z18" s="6"/>
      <c r="AA18" s="6"/>
      <c r="AC18" s="28">
        <v>6600001</v>
      </c>
      <c r="AD18" s="69">
        <v>1200000</v>
      </c>
      <c r="AE18" s="28">
        <v>6600001</v>
      </c>
      <c r="AF18" s="69">
        <v>1200000</v>
      </c>
    </row>
    <row r="19" spans="1:32" ht="15" customHeight="1" thickBot="1">
      <c r="A19" s="48" t="s">
        <v>22</v>
      </c>
      <c r="B19" s="49">
        <f t="shared" ref="B19:S19" si="18">IF(B11&lt;10000000,IF($Y$2=1,$AD$33,0),0)</f>
        <v>0</v>
      </c>
      <c r="C19" s="50">
        <f t="shared" si="18"/>
        <v>0</v>
      </c>
      <c r="D19" s="6">
        <f t="shared" si="18"/>
        <v>0</v>
      </c>
      <c r="E19" s="51">
        <f t="shared" si="18"/>
        <v>0</v>
      </c>
      <c r="F19" s="6">
        <f t="shared" si="18"/>
        <v>0</v>
      </c>
      <c r="G19" s="6">
        <f t="shared" si="18"/>
        <v>0</v>
      </c>
      <c r="H19" s="6">
        <f t="shared" si="18"/>
        <v>0</v>
      </c>
      <c r="I19" s="6">
        <f t="shared" si="18"/>
        <v>0</v>
      </c>
      <c r="J19" s="6">
        <f t="shared" si="18"/>
        <v>0</v>
      </c>
      <c r="K19" s="6">
        <f t="shared" si="18"/>
        <v>0</v>
      </c>
      <c r="L19" s="6">
        <f t="shared" si="18"/>
        <v>0</v>
      </c>
      <c r="M19" s="6">
        <f t="shared" si="18"/>
        <v>0</v>
      </c>
      <c r="N19" s="6">
        <f t="shared" si="18"/>
        <v>0</v>
      </c>
      <c r="O19" s="6">
        <f t="shared" si="18"/>
        <v>0</v>
      </c>
      <c r="P19" s="6">
        <f t="shared" si="18"/>
        <v>0</v>
      </c>
      <c r="Q19" s="6">
        <f t="shared" si="18"/>
        <v>0</v>
      </c>
      <c r="R19" s="6">
        <f t="shared" si="18"/>
        <v>0</v>
      </c>
      <c r="S19" s="6">
        <f t="shared" si="18"/>
        <v>0</v>
      </c>
      <c r="T19" s="6"/>
      <c r="U19" s="6">
        <f>IF(U11&lt;10000000,IF($Y$2=1,$AD$33,0),0)</f>
        <v>0</v>
      </c>
      <c r="V19" s="6">
        <f>IF(V11&lt;10000000,IF($Y$2=1,$AD$33,0),0)</f>
        <v>0</v>
      </c>
      <c r="W19" s="70">
        <f>IF(W11&lt;10000000,IF($Y$2=1,$AD$33,0),0)</f>
        <v>0</v>
      </c>
      <c r="X19" s="214">
        <f>IF(X11&lt;10000000,IF($Y$2=1,$AD$33,0),0)</f>
        <v>0</v>
      </c>
      <c r="Y19" s="6"/>
      <c r="Z19" s="6"/>
      <c r="AA19" s="6"/>
      <c r="AC19" s="71"/>
      <c r="AD19" s="72"/>
      <c r="AE19" s="71"/>
      <c r="AF19" s="72"/>
    </row>
    <row r="20" spans="1:32" ht="15" customHeight="1" thickBot="1">
      <c r="A20" s="48" t="s">
        <v>24</v>
      </c>
      <c r="B20" s="49">
        <f t="shared" ref="B20:S20" si="19">IF($Y$5&gt;0,$Y$5*$AD$34,0)+IF($Y$6&gt;0,$Y$6*$AD$35)+IF($Y$7&gt;0,$Y$7*$AD$34,0)</f>
        <v>0</v>
      </c>
      <c r="C20" s="50">
        <f t="shared" si="19"/>
        <v>0</v>
      </c>
      <c r="D20" s="6">
        <f t="shared" si="19"/>
        <v>0</v>
      </c>
      <c r="E20" s="51">
        <f t="shared" si="19"/>
        <v>0</v>
      </c>
      <c r="F20" s="6">
        <f t="shared" si="19"/>
        <v>0</v>
      </c>
      <c r="G20" s="6">
        <f t="shared" si="19"/>
        <v>0</v>
      </c>
      <c r="H20" s="6">
        <f t="shared" si="19"/>
        <v>0</v>
      </c>
      <c r="I20" s="6">
        <f t="shared" si="19"/>
        <v>0</v>
      </c>
      <c r="J20" s="6">
        <f t="shared" si="19"/>
        <v>0</v>
      </c>
      <c r="K20" s="6">
        <f t="shared" si="19"/>
        <v>0</v>
      </c>
      <c r="L20" s="6">
        <f t="shared" si="19"/>
        <v>0</v>
      </c>
      <c r="M20" s="6">
        <f t="shared" si="19"/>
        <v>0</v>
      </c>
      <c r="N20" s="6">
        <f t="shared" si="19"/>
        <v>0</v>
      </c>
      <c r="O20" s="6">
        <f t="shared" si="19"/>
        <v>0</v>
      </c>
      <c r="P20" s="6">
        <f t="shared" si="19"/>
        <v>0</v>
      </c>
      <c r="Q20" s="6">
        <f t="shared" si="19"/>
        <v>0</v>
      </c>
      <c r="R20" s="6">
        <f t="shared" si="19"/>
        <v>0</v>
      </c>
      <c r="S20" s="6">
        <f t="shared" si="19"/>
        <v>0</v>
      </c>
      <c r="T20" s="6"/>
      <c r="U20" s="6">
        <f>IF($Y$5&gt;0,$Y$5*$AD$34,0)+IF($Y$6&gt;0,$Y$6*$AD$35)+IF($Y$7&gt;0,$Y$7*$AD$34,0)</f>
        <v>0</v>
      </c>
      <c r="V20" s="6">
        <f>IF($Y$5&gt;0,$Y$5*$AD$34,0)+IF($Y$6&gt;0,$Y$6*$AD$35)+IF($Y$7&gt;0,$Y$7*$AD$34,0)</f>
        <v>0</v>
      </c>
      <c r="W20" s="70">
        <f>IF($Y$5&gt;0,$Y$5*$AD$34,0)+IF($Y$6&gt;0,$Y$6*$AD$35)+IF($Y$7&gt;0,$Y$7*$AD$34,0)</f>
        <v>0</v>
      </c>
      <c r="X20" s="214">
        <f>IF($Y$5&gt;0,$Y$5*$AD$34,0)+IF($Y$6&gt;0,$Y$6*$AD$35)+IF($Y$7&gt;0,$Y$7*$AD$34,0)</f>
        <v>0</v>
      </c>
      <c r="Y20" s="6"/>
      <c r="Z20" s="6"/>
      <c r="AA20" s="6"/>
      <c r="AC20" s="279">
        <v>10000001</v>
      </c>
      <c r="AD20" s="280">
        <v>2200000</v>
      </c>
      <c r="AE20" s="279">
        <v>10000001</v>
      </c>
      <c r="AF20" s="280">
        <v>2200000</v>
      </c>
    </row>
    <row r="21" spans="1:32" ht="15" customHeight="1">
      <c r="A21" s="48" t="s">
        <v>25</v>
      </c>
      <c r="B21" s="49">
        <f t="shared" ref="B21:S21" si="20">$AD$31</f>
        <v>330000</v>
      </c>
      <c r="C21" s="50">
        <f t="shared" si="20"/>
        <v>330000</v>
      </c>
      <c r="D21" s="6">
        <f t="shared" si="20"/>
        <v>330000</v>
      </c>
      <c r="E21" s="51">
        <f t="shared" si="20"/>
        <v>330000</v>
      </c>
      <c r="F21" s="6">
        <f t="shared" si="20"/>
        <v>330000</v>
      </c>
      <c r="G21" s="6">
        <f t="shared" si="20"/>
        <v>330000</v>
      </c>
      <c r="H21" s="6">
        <f t="shared" si="20"/>
        <v>330000</v>
      </c>
      <c r="I21" s="6">
        <f t="shared" si="20"/>
        <v>330000</v>
      </c>
      <c r="J21" s="6">
        <f t="shared" si="20"/>
        <v>330000</v>
      </c>
      <c r="K21" s="6">
        <f t="shared" si="20"/>
        <v>330000</v>
      </c>
      <c r="L21" s="6">
        <f t="shared" si="20"/>
        <v>330000</v>
      </c>
      <c r="M21" s="6">
        <f t="shared" si="20"/>
        <v>330000</v>
      </c>
      <c r="N21" s="6">
        <f t="shared" si="20"/>
        <v>330000</v>
      </c>
      <c r="O21" s="6">
        <f t="shared" si="20"/>
        <v>330000</v>
      </c>
      <c r="P21" s="6">
        <f t="shared" si="20"/>
        <v>330000</v>
      </c>
      <c r="Q21" s="6">
        <f t="shared" si="20"/>
        <v>330000</v>
      </c>
      <c r="R21" s="6">
        <f t="shared" si="20"/>
        <v>330000</v>
      </c>
      <c r="S21" s="6">
        <f t="shared" si="20"/>
        <v>330000</v>
      </c>
      <c r="T21" s="6"/>
      <c r="U21" s="6">
        <f>$AD$31</f>
        <v>330000</v>
      </c>
      <c r="V21" s="6">
        <f>$AD$31</f>
        <v>330000</v>
      </c>
      <c r="W21" s="70">
        <f>$AD$31</f>
        <v>330000</v>
      </c>
      <c r="X21" s="214">
        <f>$AD$31</f>
        <v>330000</v>
      </c>
      <c r="Y21" s="6"/>
      <c r="Z21" s="6"/>
      <c r="AA21" s="6"/>
      <c r="AC21" s="73" t="s">
        <v>29</v>
      </c>
      <c r="AD21" s="74"/>
      <c r="AE21" s="73" t="s">
        <v>29</v>
      </c>
      <c r="AF21" s="74"/>
    </row>
    <row r="22" spans="1:32" ht="15" customHeight="1">
      <c r="A22" s="75" t="s">
        <v>26</v>
      </c>
      <c r="B22" s="49">
        <f t="shared" ref="B22:X22" si="21">SUM(B17:B21)</f>
        <v>1380000</v>
      </c>
      <c r="C22" s="50">
        <f>SUM(C17:C21)</f>
        <v>1380000</v>
      </c>
      <c r="D22" s="76">
        <f>SUM(D17:D21)</f>
        <v>330000</v>
      </c>
      <c r="E22" s="77">
        <f t="shared" ref="E22:U22" si="22">SUM(E17:E21)</f>
        <v>1740000</v>
      </c>
      <c r="F22" s="76">
        <f t="shared" ref="F22:S22" si="23">SUM(F17:F21)</f>
        <v>1770000</v>
      </c>
      <c r="G22" s="76">
        <f t="shared" si="23"/>
        <v>1800000</v>
      </c>
      <c r="H22" s="76">
        <f t="shared" ref="H22:R22" si="24">SUM(H17:H21)</f>
        <v>1830000</v>
      </c>
      <c r="I22" s="76">
        <f t="shared" si="24"/>
        <v>1860000</v>
      </c>
      <c r="J22" s="76">
        <f t="shared" si="24"/>
        <v>1890000</v>
      </c>
      <c r="K22" s="76">
        <f t="shared" si="24"/>
        <v>1920000</v>
      </c>
      <c r="L22" s="76">
        <f t="shared" si="24"/>
        <v>1950000</v>
      </c>
      <c r="M22" s="76">
        <f t="shared" si="24"/>
        <v>1950000</v>
      </c>
      <c r="N22" s="76">
        <f t="shared" si="24"/>
        <v>1950000</v>
      </c>
      <c r="O22" s="76">
        <f t="shared" si="24"/>
        <v>1950000</v>
      </c>
      <c r="P22" s="76">
        <f t="shared" si="24"/>
        <v>1950000</v>
      </c>
      <c r="Q22" s="76">
        <f t="shared" si="24"/>
        <v>1950000</v>
      </c>
      <c r="R22" s="76">
        <f t="shared" si="24"/>
        <v>1950000</v>
      </c>
      <c r="S22" s="76">
        <f t="shared" si="23"/>
        <v>1950000</v>
      </c>
      <c r="T22" s="76"/>
      <c r="U22" s="76">
        <f t="shared" si="22"/>
        <v>330000</v>
      </c>
      <c r="V22" s="76">
        <f t="shared" si="21"/>
        <v>330000</v>
      </c>
      <c r="W22" s="78">
        <f t="shared" si="21"/>
        <v>330000</v>
      </c>
      <c r="X22" s="217">
        <f t="shared" si="21"/>
        <v>1950000</v>
      </c>
      <c r="Y22" s="6"/>
      <c r="Z22" s="6"/>
      <c r="AA22" s="6"/>
      <c r="AC22" s="28" t="s">
        <v>54</v>
      </c>
      <c r="AD22" s="69"/>
      <c r="AE22" s="28" t="s">
        <v>54</v>
      </c>
      <c r="AF22" s="69"/>
    </row>
    <row r="23" spans="1:32" ht="15" customHeight="1">
      <c r="A23" s="48"/>
      <c r="B23" s="49"/>
      <c r="C23" s="50"/>
      <c r="D23" s="6"/>
      <c r="E23" s="51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0"/>
      <c r="X23" s="214"/>
      <c r="Y23" s="6"/>
      <c r="Z23" s="6"/>
      <c r="AA23" s="6"/>
      <c r="AC23" s="28">
        <v>0</v>
      </c>
      <c r="AD23" s="33">
        <v>0.15</v>
      </c>
      <c r="AE23" s="28">
        <v>0</v>
      </c>
      <c r="AF23" s="33">
        <v>0.15</v>
      </c>
    </row>
    <row r="24" spans="1:32" ht="15" customHeight="1">
      <c r="A24" s="48" t="s">
        <v>27</v>
      </c>
      <c r="B24" s="49">
        <f>ROUNDDOWN(IF(B11-B22&lt;0,0,B11-B22),-3)</f>
        <v>3720000</v>
      </c>
      <c r="C24" s="50">
        <f t="shared" ref="C24:X24" si="25">ROUNDDOWN(IF(C11-C22&lt;0,0,C11-C22),-3)</f>
        <v>3720000</v>
      </c>
      <c r="D24" s="52">
        <f t="shared" si="25"/>
        <v>0</v>
      </c>
      <c r="E24" s="53">
        <f t="shared" si="25"/>
        <v>7060000</v>
      </c>
      <c r="F24" s="52">
        <f t="shared" ref="F24:S24" si="26">ROUNDDOWN(IF(F11-F22&lt;0,0,F11-F22),-3)</f>
        <v>8030000</v>
      </c>
      <c r="G24" s="52">
        <f t="shared" si="26"/>
        <v>9000000</v>
      </c>
      <c r="H24" s="52">
        <f t="shared" ref="H24:R24" si="27">ROUNDDOWN(IF(H11-H22&lt;0,0,H11-H22),-3)</f>
        <v>9970000</v>
      </c>
      <c r="I24" s="52">
        <f t="shared" si="27"/>
        <v>10940000</v>
      </c>
      <c r="J24" s="52">
        <f t="shared" si="27"/>
        <v>11910000</v>
      </c>
      <c r="K24" s="52">
        <f t="shared" si="27"/>
        <v>12880000</v>
      </c>
      <c r="L24" s="52">
        <f t="shared" si="27"/>
        <v>13850000</v>
      </c>
      <c r="M24" s="52">
        <f t="shared" si="27"/>
        <v>14850000</v>
      </c>
      <c r="N24" s="52">
        <f t="shared" si="27"/>
        <v>15850000</v>
      </c>
      <c r="O24" s="52">
        <f t="shared" si="27"/>
        <v>16850000</v>
      </c>
      <c r="P24" s="52">
        <f t="shared" si="27"/>
        <v>17850000</v>
      </c>
      <c r="Q24" s="52">
        <f t="shared" si="27"/>
        <v>18850000</v>
      </c>
      <c r="R24" s="52">
        <f t="shared" si="27"/>
        <v>19850000</v>
      </c>
      <c r="S24" s="52">
        <f t="shared" si="26"/>
        <v>20850000</v>
      </c>
      <c r="T24" s="52"/>
      <c r="U24" s="52">
        <f t="shared" si="25"/>
        <v>0</v>
      </c>
      <c r="V24" s="52">
        <f>ROUNDDOWN(IF(V11-V22&lt;0,0,V11-V22),-3)</f>
        <v>0</v>
      </c>
      <c r="W24" s="54">
        <f t="shared" si="25"/>
        <v>0</v>
      </c>
      <c r="X24" s="214">
        <f t="shared" si="25"/>
        <v>266850000</v>
      </c>
      <c r="Y24" s="6"/>
      <c r="Z24" s="6"/>
      <c r="AA24" s="6"/>
      <c r="AC24" s="28">
        <v>9000001</v>
      </c>
      <c r="AD24" s="33">
        <v>0.03</v>
      </c>
      <c r="AE24" s="28">
        <v>9000001</v>
      </c>
      <c r="AF24" s="33">
        <v>0.03</v>
      </c>
    </row>
    <row r="25" spans="1:32" ht="15" customHeight="1">
      <c r="A25" s="79" t="s">
        <v>55</v>
      </c>
      <c r="B25" s="49">
        <f t="shared" ref="B25:S25" si="28">ROUNDDOWN(B24*VLOOKUP(B24,$AA$38:$AB$41,2)-VLOOKUP(B24,$AC$48:$AD$51,2),-2)</f>
        <v>223200</v>
      </c>
      <c r="C25" s="49">
        <f t="shared" si="28"/>
        <v>223200</v>
      </c>
      <c r="D25" s="80">
        <f t="shared" si="28"/>
        <v>0</v>
      </c>
      <c r="E25" s="81">
        <f t="shared" si="28"/>
        <v>423600</v>
      </c>
      <c r="F25" s="80">
        <f t="shared" si="28"/>
        <v>481800</v>
      </c>
      <c r="G25" s="80">
        <f t="shared" si="28"/>
        <v>540000</v>
      </c>
      <c r="H25" s="80">
        <f t="shared" si="28"/>
        <v>598200</v>
      </c>
      <c r="I25" s="80">
        <f t="shared" si="28"/>
        <v>656400</v>
      </c>
      <c r="J25" s="80">
        <f t="shared" si="28"/>
        <v>714600</v>
      </c>
      <c r="K25" s="80">
        <f t="shared" si="28"/>
        <v>772800</v>
      </c>
      <c r="L25" s="80">
        <f t="shared" si="28"/>
        <v>831000</v>
      </c>
      <c r="M25" s="80">
        <f t="shared" si="28"/>
        <v>891000</v>
      </c>
      <c r="N25" s="80">
        <f t="shared" si="28"/>
        <v>951000</v>
      </c>
      <c r="O25" s="80">
        <f t="shared" si="28"/>
        <v>1011000</v>
      </c>
      <c r="P25" s="80">
        <f t="shared" si="28"/>
        <v>1071000</v>
      </c>
      <c r="Q25" s="80">
        <f t="shared" si="28"/>
        <v>1131000</v>
      </c>
      <c r="R25" s="80">
        <f t="shared" si="28"/>
        <v>1191000</v>
      </c>
      <c r="S25" s="80">
        <f t="shared" si="28"/>
        <v>1251000</v>
      </c>
      <c r="T25" s="80"/>
      <c r="U25" s="80">
        <f>ROUNDDOWN(U24*VLOOKUP(U24,$AA$38:$AB$41,2)-VLOOKUP(U24,$AC$48:$AD$51,2),-2)</f>
        <v>0</v>
      </c>
      <c r="V25" s="80">
        <f>ROUNDDOWN(V24*VLOOKUP(V24,$AA$38:$AB$41,2)-VLOOKUP(V24,$AC$48:$AD$51,2),-2)</f>
        <v>0</v>
      </c>
      <c r="W25" s="82">
        <f>ROUNDDOWN(W24*VLOOKUP(W24,$AA$38:$AB$41,2)-VLOOKUP(W24,$AC$48:$AD$51,2),-2)</f>
        <v>0</v>
      </c>
      <c r="X25" s="218">
        <f>ROUNDDOWN(X24*VLOOKUP(X24,$AA$38:$AB$41,2)-VLOOKUP(X24,$AC$48:$AD$51,2),-2)</f>
        <v>16011000</v>
      </c>
      <c r="Y25" s="52"/>
      <c r="Z25" s="52"/>
      <c r="AA25" s="6"/>
      <c r="AC25" s="55">
        <v>18000001</v>
      </c>
      <c r="AD25" s="56">
        <v>0</v>
      </c>
      <c r="AE25" s="55">
        <v>18000001</v>
      </c>
      <c r="AF25" s="56">
        <v>0</v>
      </c>
    </row>
    <row r="26" spans="1:32" ht="15" customHeight="1">
      <c r="A26" s="79" t="s">
        <v>56</v>
      </c>
      <c r="B26" s="49">
        <f t="shared" ref="B26:S26" si="29">ROUNDDOWN(B24*VLOOKUP(B24,$AC$38:$AD$41,2)-VLOOKUP(B24,$AC$48:$AD$51,2),-2)</f>
        <v>148800</v>
      </c>
      <c r="C26" s="49">
        <f t="shared" si="29"/>
        <v>148800</v>
      </c>
      <c r="D26" s="82">
        <f t="shared" si="29"/>
        <v>0</v>
      </c>
      <c r="E26" s="80">
        <f t="shared" si="29"/>
        <v>282400</v>
      </c>
      <c r="F26" s="80">
        <f t="shared" si="29"/>
        <v>321200</v>
      </c>
      <c r="G26" s="80">
        <f t="shared" si="29"/>
        <v>360000</v>
      </c>
      <c r="H26" s="80">
        <f t="shared" si="29"/>
        <v>398800</v>
      </c>
      <c r="I26" s="80">
        <f t="shared" si="29"/>
        <v>437600</v>
      </c>
      <c r="J26" s="80">
        <f t="shared" si="29"/>
        <v>476400</v>
      </c>
      <c r="K26" s="80">
        <f t="shared" si="29"/>
        <v>515200</v>
      </c>
      <c r="L26" s="80">
        <f t="shared" si="29"/>
        <v>554000</v>
      </c>
      <c r="M26" s="80">
        <f t="shared" si="29"/>
        <v>594000</v>
      </c>
      <c r="N26" s="80">
        <f t="shared" si="29"/>
        <v>634000</v>
      </c>
      <c r="O26" s="80">
        <f t="shared" si="29"/>
        <v>674000</v>
      </c>
      <c r="P26" s="80">
        <f t="shared" si="29"/>
        <v>714000</v>
      </c>
      <c r="Q26" s="80">
        <f t="shared" si="29"/>
        <v>754000</v>
      </c>
      <c r="R26" s="80">
        <f t="shared" si="29"/>
        <v>794000</v>
      </c>
      <c r="S26" s="80">
        <f t="shared" si="29"/>
        <v>834000</v>
      </c>
      <c r="T26" s="80"/>
      <c r="U26" s="80">
        <f>ROUNDDOWN(U24*VLOOKUP(U24,$AC$38:$AD$41,2)-VLOOKUP(U24,$AC$48:$AD$51,2),-2)</f>
        <v>0</v>
      </c>
      <c r="V26" s="80">
        <f>ROUNDDOWN(V24*VLOOKUP(V24,$AC$38:$AD$41,2)-VLOOKUP(V24,$AC$48:$AD$51,2),-2)</f>
        <v>0</v>
      </c>
      <c r="W26" s="82">
        <f>ROUNDDOWN(W24*VLOOKUP(W24,$AC$38:$AD$41,2)-VLOOKUP(W24,$AC$48:$AD$51,2),-2)</f>
        <v>0</v>
      </c>
      <c r="X26" s="218">
        <f>ROUNDDOWN(X24*VLOOKUP(X24,$AC$38:$AD$41,2)-VLOOKUP(X24,$AC$48:$AD$51,2),-2)</f>
        <v>10674000</v>
      </c>
      <c r="Y26" s="52"/>
      <c r="Z26" s="52"/>
      <c r="AA26" s="6"/>
      <c r="AC26" s="28" t="s">
        <v>48</v>
      </c>
      <c r="AD26" s="69"/>
      <c r="AE26" s="28" t="s">
        <v>54</v>
      </c>
      <c r="AF26" s="69"/>
    </row>
    <row r="27" spans="1:32" ht="15" customHeight="1">
      <c r="A27" s="278" t="s">
        <v>28</v>
      </c>
      <c r="B27" s="293">
        <f>-(IF(($Y$5+$Y$7)&gt;0,($Y$5+$Y$7)*$AD$60,0)+IF($Y$6&gt;0,$Y$6*$AD$61)+$AD$57)+(IF(($Y$5+$Y$7)&gt;0,($Y$5+$Y$7)*$AF$60,0)+IF($Y$6&gt;0,$Y$6*$AF$61)+$AF$57)-(IF(AND($Y$2=1),B18,0))+(IF(AND($Y$2=1),B62,0))</f>
        <v>50000</v>
      </c>
      <c r="C27" s="293">
        <f t="shared" ref="C27:S27" si="30">-(IF(($Y$5+$Y$7)&gt;0,($Y$5+$Y$7)*$AD$60,0)+IF($Y$6&gt;0,$Y$6*$AD$61)+$AD$57)+(IF(($Y$5+$Y$7)&gt;0,($Y$5+$Y$7)*$AF$60,0)+IF($Y$6&gt;0,$Y$6*$AF$61)+$AF$57)-(IF(AND($Y$2=1),C18,0))+(IF(AND($Y$2=1),C62,0))</f>
        <v>50000</v>
      </c>
      <c r="D27" s="294">
        <f t="shared" si="30"/>
        <v>50000</v>
      </c>
      <c r="E27" s="295">
        <f t="shared" si="30"/>
        <v>50000</v>
      </c>
      <c r="F27" s="295">
        <f t="shared" si="30"/>
        <v>50000</v>
      </c>
      <c r="G27" s="295">
        <f t="shared" si="30"/>
        <v>50000</v>
      </c>
      <c r="H27" s="295">
        <f t="shared" si="30"/>
        <v>50000</v>
      </c>
      <c r="I27" s="295">
        <f t="shared" si="30"/>
        <v>50000</v>
      </c>
      <c r="J27" s="295">
        <f t="shared" si="30"/>
        <v>50000</v>
      </c>
      <c r="K27" s="295">
        <f t="shared" si="30"/>
        <v>50000</v>
      </c>
      <c r="L27" s="295">
        <f t="shared" si="30"/>
        <v>50000</v>
      </c>
      <c r="M27" s="295">
        <f t="shared" si="30"/>
        <v>50000</v>
      </c>
      <c r="N27" s="295">
        <f t="shared" si="30"/>
        <v>50000</v>
      </c>
      <c r="O27" s="295">
        <f t="shared" si="30"/>
        <v>50000</v>
      </c>
      <c r="P27" s="295">
        <f t="shared" si="30"/>
        <v>50000</v>
      </c>
      <c r="Q27" s="295">
        <f t="shared" si="30"/>
        <v>50000</v>
      </c>
      <c r="R27" s="295">
        <f t="shared" si="30"/>
        <v>50000</v>
      </c>
      <c r="S27" s="295">
        <f t="shared" si="30"/>
        <v>50000</v>
      </c>
      <c r="T27" s="296"/>
      <c r="U27" s="295">
        <f>-(IF(($Y$5+$Y$7)&gt;0,($Y$5+$Y$7)*$AD$60,0)+IF($Y$6&gt;0,$Y$6*$AD$61)+$AD$57)+(IF(($Y$5+$Y$7)&gt;0,($Y$5+$Y$7)*$AF$60,0)+IF($Y$6&gt;0,$Y$6*$AF$61)+$AF$57)-(IF(AND($Y$2=1),U18,0))+(IF(AND($Y$2=1),U62,0))</f>
        <v>50000</v>
      </c>
      <c r="V27" s="295">
        <f>-(IF(($Y$5+$Y$7)&gt;0,($Y$5+$Y$7)*$AD$60,0)+IF($Y$6&gt;0,$Y$6*$AD$61)+$AD$57)+(IF(($Y$5+$Y$7)&gt;0,($Y$5+$Y$7)*$AF$60,0)+IF($Y$6&gt;0,$Y$6*$AF$61)+$AF$57)-(IF(AND($Y$2=1),V18,0))+(IF(AND($Y$2=1),V62,0))</f>
        <v>50000</v>
      </c>
      <c r="W27" s="294">
        <f>-(IF(($Y$5+$Y$7)&gt;0,($Y$5+$Y$7)*$AD$60,0)+IF($Y$6&gt;0,$Y$6*$AD$61)+$AD$57)+(IF(($Y$5+$Y$7)&gt;0,($Y$5+$Y$7)*$AF$60,0)+IF($Y$6&gt;0,$Y$6*$AF$61)+$AF$57)-(IF(AND($Y$2=1),W18,0))+(IF(AND($Y$2=1),W62,0))</f>
        <v>50000</v>
      </c>
      <c r="X27" s="297">
        <f>-(IF(($Y$5+$Y$7)&gt;0,($Y$5+$Y$7)*$AD$60,0)+IF($Y$6&gt;0,$Y$6*$AD$61)+$AD$57)+(IF(($Y$5+$Y$7)&gt;0,($Y$5+$Y$7)*$AF$60,0)+IF($Y$6&gt;0,$Y$6*$AF$61)+$AF$57)-(IF(AND($Y$2=1),X18,0))+(IF(AND($Y$2=1),X62,0))</f>
        <v>50000</v>
      </c>
      <c r="Y27" s="52"/>
      <c r="Z27" s="52"/>
      <c r="AA27" s="52"/>
      <c r="AC27" s="28">
        <v>0</v>
      </c>
      <c r="AD27" s="69">
        <v>0</v>
      </c>
      <c r="AE27" s="28">
        <v>0</v>
      </c>
      <c r="AF27" s="69">
        <v>0</v>
      </c>
    </row>
    <row r="28" spans="1:32" ht="15" customHeight="1">
      <c r="A28" s="79" t="s">
        <v>57</v>
      </c>
      <c r="B28" s="49">
        <f>IF(B24&gt;2000000,IF(((B27-(B24-2000000))*0.03)&lt;=1500,1500,((B27-(B24-2000000))*0.03)),IF(B24&gt;B27,B27*0.03,B24*0.03))</f>
        <v>1500</v>
      </c>
      <c r="C28" s="49">
        <f>IF(C24&gt;2000000,IF(((C27-(C24-2000000))*0.03)&lt;=1500,1500,((C27-(C24-2000000))*0.03)),IF(C24&gt;C27,C27*0.03,C24*0.03))</f>
        <v>1500</v>
      </c>
      <c r="D28" s="80">
        <f>IF(D24&gt;2000000,IF(((D27-(D24-2000000))*0.03)&lt;=1500,1500,((D27-(D24-2000000))*0.03)),IF(D24&gt;D27,D27*0.03,D24*0.03))</f>
        <v>0</v>
      </c>
      <c r="E28" s="81">
        <f>IF(E24&gt;2000000,IF(((E27-(E24-2000000))*0.03)&lt;=1500,1500,((E27-(E24-2000000))*0.03)),IF(E24&gt;E27,E27*0.03,E24*0.03))</f>
        <v>1500</v>
      </c>
      <c r="F28" s="80">
        <f>IF(F24&gt;2000000,IF(((F27-(F24-2000000))*0.03)&lt;=1500,1500,((F27-(F24-2000000))*0.03)),IF(F24&gt;F27,F27*0.03,F24*0.03))</f>
        <v>1500</v>
      </c>
      <c r="G28" s="80">
        <f t="shared" ref="G28:S28" si="31">IF(G24&gt;2000000,IF(((G27-(G24-2000000))*0.03)&lt;=1500,1500,((G27-(G24-2000000))*0.03)),IF(G24&gt;G27,G27*0.03,G24*0.03))</f>
        <v>1500</v>
      </c>
      <c r="H28" s="80">
        <f t="shared" ref="H28:R28" si="32">IF(H24&gt;2000000,IF(((H27-(H24-2000000))*0.03)&lt;=1500,1500,((H27-(H24-2000000))*0.03)),IF(H24&gt;H27,H27*0.03,H24*0.03))</f>
        <v>1500</v>
      </c>
      <c r="I28" s="80">
        <f t="shared" si="32"/>
        <v>1500</v>
      </c>
      <c r="J28" s="80">
        <f t="shared" si="32"/>
        <v>1500</v>
      </c>
      <c r="K28" s="80">
        <f t="shared" si="32"/>
        <v>1500</v>
      </c>
      <c r="L28" s="80">
        <f t="shared" si="32"/>
        <v>1500</v>
      </c>
      <c r="M28" s="80">
        <f t="shared" si="32"/>
        <v>1500</v>
      </c>
      <c r="N28" s="80">
        <f t="shared" si="32"/>
        <v>1500</v>
      </c>
      <c r="O28" s="80">
        <f t="shared" si="32"/>
        <v>1500</v>
      </c>
      <c r="P28" s="80">
        <f t="shared" si="32"/>
        <v>1500</v>
      </c>
      <c r="Q28" s="80">
        <f t="shared" si="32"/>
        <v>1500</v>
      </c>
      <c r="R28" s="80">
        <f t="shared" si="32"/>
        <v>1500</v>
      </c>
      <c r="S28" s="80">
        <f t="shared" si="31"/>
        <v>1500</v>
      </c>
      <c r="T28" s="80"/>
      <c r="U28" s="80">
        <f t="shared" ref="U28" si="33">IF(U24&gt;2000000,IF(((U27-(U24-2000000))*0.03)&lt;=1500,1500,((U27-(U24-2000000))*0.03)),IF(U24&gt;U27,U27*0.03,U24*0.03))</f>
        <v>0</v>
      </c>
      <c r="V28" s="80">
        <f>IF(V24&gt;2000000,IF(((V27-(V24-2000000))*0.03)&lt;=1500,1500,((V27-(V24-2000000))*0.03)),IF(V24&gt;V27,V27*0.03,V24*0.03))</f>
        <v>0</v>
      </c>
      <c r="W28" s="82">
        <f>IF(W24&gt;2000000,IF(((W27-(W24-2000000))*0.03)&lt;=1500,1500,((W27-(W24-2000000))*0.03)),IF(W24&gt;W27,W27*0.03,W24*0.03))</f>
        <v>0</v>
      </c>
      <c r="X28" s="218">
        <f>IF(X24&gt;2000000,IF(((X27-(X24-2000000))*0.03)&lt;=1500,1500,((X27-(X24-2000000))*0.03)),IF(X24&gt;X27,X27*0.03,X24*0.03))</f>
        <v>1500</v>
      </c>
      <c r="Y28" s="85"/>
      <c r="Z28" s="85"/>
      <c r="AA28" s="52"/>
      <c r="AC28" s="28">
        <v>9000001</v>
      </c>
      <c r="AD28" s="69">
        <v>1080000</v>
      </c>
      <c r="AE28" s="28">
        <v>9000001</v>
      </c>
      <c r="AF28" s="69">
        <v>1080000</v>
      </c>
    </row>
    <row r="29" spans="1:32" ht="15" customHeight="1" thickBot="1">
      <c r="A29" s="79" t="s">
        <v>58</v>
      </c>
      <c r="B29" s="49">
        <f>IF(B24&gt;2000000,IF(((B27-(B24-2000000))*0.02)&lt;=1000,1000,((B27-(B24-2000000))*0.02)),IF(B24&gt;B27,B27*0.02,B24*0.02))</f>
        <v>1000</v>
      </c>
      <c r="C29" s="49">
        <f>IF(C24&gt;2000000,IF(((C27-(C24-2000000))*0.02)&lt;=1000,1000,((C27-(C24-2000000))*0.02)),IF(C24&gt;C27,C27*0.02,C24*0.02))</f>
        <v>1000</v>
      </c>
      <c r="D29" s="80">
        <f>IF(D24&gt;2000000,IF(((D27-(D24-2000000))*0.02)&lt;=1000,1000,((D27-(D24-2000000))*0.02)),IF(D24&gt;D27,D27*0.02,D24*0.02))</f>
        <v>0</v>
      </c>
      <c r="E29" s="81">
        <f t="shared" ref="E29:U29" si="34">IF(E24&gt;2000000,IF(((E27-(E24-2000000))*0.02)&lt;=1000,1000,((E27-(E24-2000000))*0.02)),IF(E24&gt;E27,E27*0.02,E24*0.02))</f>
        <v>1000</v>
      </c>
      <c r="F29" s="80">
        <f t="shared" ref="F29:S29" si="35">IF(F24&gt;2000000,IF(((F27-(F24-2000000))*0.02)&lt;=1000,1000,((F27-(F24-2000000))*0.02)),IF(F24&gt;F27,F27*0.02,F24*0.02))</f>
        <v>1000</v>
      </c>
      <c r="G29" s="80">
        <f t="shared" si="35"/>
        <v>1000</v>
      </c>
      <c r="H29" s="80">
        <f t="shared" ref="H29:R29" si="36">IF(H24&gt;2000000,IF(((H27-(H24-2000000))*0.02)&lt;=1000,1000,((H27-(H24-2000000))*0.02)),IF(H24&gt;H27,H27*0.02,H24*0.02))</f>
        <v>1000</v>
      </c>
      <c r="I29" s="80">
        <f t="shared" si="36"/>
        <v>1000</v>
      </c>
      <c r="J29" s="80">
        <f t="shared" si="36"/>
        <v>1000</v>
      </c>
      <c r="K29" s="80">
        <f t="shared" si="36"/>
        <v>1000</v>
      </c>
      <c r="L29" s="80">
        <f t="shared" si="36"/>
        <v>1000</v>
      </c>
      <c r="M29" s="80">
        <f t="shared" si="36"/>
        <v>1000</v>
      </c>
      <c r="N29" s="80">
        <f t="shared" si="36"/>
        <v>1000</v>
      </c>
      <c r="O29" s="80">
        <f t="shared" si="36"/>
        <v>1000</v>
      </c>
      <c r="P29" s="80">
        <f t="shared" si="36"/>
        <v>1000</v>
      </c>
      <c r="Q29" s="80">
        <f t="shared" si="36"/>
        <v>1000</v>
      </c>
      <c r="R29" s="80">
        <f t="shared" si="36"/>
        <v>1000</v>
      </c>
      <c r="S29" s="80">
        <f t="shared" si="35"/>
        <v>1000</v>
      </c>
      <c r="T29" s="80"/>
      <c r="U29" s="80">
        <f t="shared" si="34"/>
        <v>0</v>
      </c>
      <c r="V29" s="80">
        <f>IF(V24&gt;2000000,IF(((V27-(V24-2000000))*0.02)&lt;=1000,1000,((V27-(V24-2000000))*0.02)),IF(V24&gt;V27,V27*0.02,V24*0.02))</f>
        <v>0</v>
      </c>
      <c r="W29" s="82">
        <f>IF(W24&gt;2000000,IF(((W27-(W24-2000000))*0.02)&lt;=1000,1000,((W27-(W24-2000000))*0.02)),IF(W24&gt;W27,W27*0.02,W24*0.02))</f>
        <v>0</v>
      </c>
      <c r="X29" s="218">
        <f>IF(X24&gt;2000000,IF(((X27-(X24-2000000))*0.02)&lt;=1000,1000,((X27-(X24-2000000))*0.02)),IF(X24&gt;X27,X27*0.02,X24*0.02))</f>
        <v>1000</v>
      </c>
      <c r="Y29" s="85"/>
      <c r="Z29" s="85"/>
      <c r="AA29" s="52"/>
      <c r="AC29" s="71">
        <v>18000001</v>
      </c>
      <c r="AD29" s="72">
        <v>1620000</v>
      </c>
      <c r="AE29" s="71">
        <v>18000001</v>
      </c>
      <c r="AF29" s="72">
        <v>1620000</v>
      </c>
    </row>
    <row r="30" spans="1:32" ht="15" customHeight="1">
      <c r="A30" s="79" t="s">
        <v>60</v>
      </c>
      <c r="B30" s="49">
        <f>B25-B28</f>
        <v>221700</v>
      </c>
      <c r="C30" s="49">
        <f t="shared" ref="C30:X31" si="37">C25-C28</f>
        <v>221700</v>
      </c>
      <c r="D30" s="80">
        <f t="shared" si="37"/>
        <v>0</v>
      </c>
      <c r="E30" s="81">
        <f>E25-E28</f>
        <v>422100</v>
      </c>
      <c r="F30" s="80">
        <f t="shared" ref="F30:S30" si="38">F25-F28</f>
        <v>480300</v>
      </c>
      <c r="G30" s="80">
        <f t="shared" si="38"/>
        <v>538500</v>
      </c>
      <c r="H30" s="80">
        <f t="shared" ref="H30:R30" si="39">H25-H28</f>
        <v>596700</v>
      </c>
      <c r="I30" s="80">
        <f t="shared" si="39"/>
        <v>654900</v>
      </c>
      <c r="J30" s="80">
        <f t="shared" si="39"/>
        <v>713100</v>
      </c>
      <c r="K30" s="80">
        <f t="shared" si="39"/>
        <v>771300</v>
      </c>
      <c r="L30" s="80">
        <f t="shared" si="39"/>
        <v>829500</v>
      </c>
      <c r="M30" s="80">
        <f t="shared" si="39"/>
        <v>889500</v>
      </c>
      <c r="N30" s="80">
        <f t="shared" si="39"/>
        <v>949500</v>
      </c>
      <c r="O30" s="80">
        <f t="shared" si="39"/>
        <v>1009500</v>
      </c>
      <c r="P30" s="80">
        <f t="shared" si="39"/>
        <v>1069500</v>
      </c>
      <c r="Q30" s="80">
        <f t="shared" si="39"/>
        <v>1129500</v>
      </c>
      <c r="R30" s="80">
        <f t="shared" si="39"/>
        <v>1189500</v>
      </c>
      <c r="S30" s="80">
        <f t="shared" si="38"/>
        <v>1249500</v>
      </c>
      <c r="T30" s="80"/>
      <c r="U30" s="80">
        <f t="shared" si="37"/>
        <v>0</v>
      </c>
      <c r="V30" s="80">
        <f>V25-V28</f>
        <v>0</v>
      </c>
      <c r="W30" s="82">
        <f t="shared" si="37"/>
        <v>0</v>
      </c>
      <c r="X30" s="218">
        <f t="shared" si="37"/>
        <v>16009500</v>
      </c>
      <c r="Y30" s="52"/>
      <c r="Z30" s="52"/>
      <c r="AA30" s="85"/>
      <c r="AC30" s="86" t="s">
        <v>30</v>
      </c>
      <c r="AD30" s="87"/>
      <c r="AE30" s="86" t="s">
        <v>30</v>
      </c>
      <c r="AF30" s="87"/>
    </row>
    <row r="31" spans="1:32" ht="15" customHeight="1">
      <c r="A31" s="79" t="s">
        <v>62</v>
      </c>
      <c r="B31" s="49">
        <f>B26-B29</f>
        <v>147800</v>
      </c>
      <c r="C31" s="49">
        <f t="shared" si="37"/>
        <v>147800</v>
      </c>
      <c r="D31" s="80">
        <f t="shared" si="37"/>
        <v>0</v>
      </c>
      <c r="E31" s="81">
        <f t="shared" si="37"/>
        <v>281400</v>
      </c>
      <c r="F31" s="80">
        <f t="shared" ref="F31:S31" si="40">F26-F29</f>
        <v>320200</v>
      </c>
      <c r="G31" s="80">
        <f t="shared" si="40"/>
        <v>359000</v>
      </c>
      <c r="H31" s="80">
        <f t="shared" ref="H31:R31" si="41">H26-H29</f>
        <v>397800</v>
      </c>
      <c r="I31" s="80">
        <f t="shared" si="41"/>
        <v>436600</v>
      </c>
      <c r="J31" s="80">
        <f t="shared" si="41"/>
        <v>475400</v>
      </c>
      <c r="K31" s="80">
        <f t="shared" si="41"/>
        <v>514200</v>
      </c>
      <c r="L31" s="80">
        <f t="shared" si="41"/>
        <v>553000</v>
      </c>
      <c r="M31" s="80">
        <f t="shared" si="41"/>
        <v>593000</v>
      </c>
      <c r="N31" s="80">
        <f t="shared" si="41"/>
        <v>633000</v>
      </c>
      <c r="O31" s="80">
        <f t="shared" si="41"/>
        <v>673000</v>
      </c>
      <c r="P31" s="80">
        <f t="shared" si="41"/>
        <v>713000</v>
      </c>
      <c r="Q31" s="80">
        <f t="shared" si="41"/>
        <v>753000</v>
      </c>
      <c r="R31" s="80">
        <f t="shared" si="41"/>
        <v>793000</v>
      </c>
      <c r="S31" s="80">
        <f t="shared" si="40"/>
        <v>833000</v>
      </c>
      <c r="T31" s="80"/>
      <c r="U31" s="80">
        <f t="shared" si="37"/>
        <v>0</v>
      </c>
      <c r="V31" s="80">
        <f t="shared" si="37"/>
        <v>0</v>
      </c>
      <c r="W31" s="82">
        <f t="shared" si="37"/>
        <v>0</v>
      </c>
      <c r="X31" s="218">
        <f t="shared" si="37"/>
        <v>10673000</v>
      </c>
      <c r="Y31" s="52"/>
      <c r="Z31" s="52"/>
      <c r="AA31" s="85"/>
      <c r="AC31" s="88" t="s">
        <v>59</v>
      </c>
      <c r="AD31" s="89">
        <v>330000</v>
      </c>
      <c r="AE31" s="90" t="s">
        <v>59</v>
      </c>
      <c r="AF31" s="89">
        <v>380000</v>
      </c>
    </row>
    <row r="32" spans="1:32" ht="15" customHeight="1">
      <c r="A32" s="91" t="s">
        <v>63</v>
      </c>
      <c r="B32" s="49">
        <f>SUM(B30:B31)</f>
        <v>369500</v>
      </c>
      <c r="C32" s="49">
        <f t="shared" ref="C32:X32" si="42">SUM(C30:C31)</f>
        <v>369500</v>
      </c>
      <c r="D32" s="92">
        <f t="shared" si="42"/>
        <v>0</v>
      </c>
      <c r="E32" s="93">
        <f>SUM(E30:E31)</f>
        <v>703500</v>
      </c>
      <c r="F32" s="92">
        <f t="shared" ref="F32:S32" si="43">SUM(F30:F31)</f>
        <v>800500</v>
      </c>
      <c r="G32" s="92">
        <f t="shared" si="43"/>
        <v>897500</v>
      </c>
      <c r="H32" s="92">
        <f t="shared" ref="H32:R32" si="44">SUM(H30:H31)</f>
        <v>994500</v>
      </c>
      <c r="I32" s="92">
        <f t="shared" si="44"/>
        <v>1091500</v>
      </c>
      <c r="J32" s="92">
        <f t="shared" si="44"/>
        <v>1188500</v>
      </c>
      <c r="K32" s="92">
        <f t="shared" si="44"/>
        <v>1285500</v>
      </c>
      <c r="L32" s="92">
        <f t="shared" si="44"/>
        <v>1382500</v>
      </c>
      <c r="M32" s="92">
        <f t="shared" si="44"/>
        <v>1482500</v>
      </c>
      <c r="N32" s="92">
        <f t="shared" si="44"/>
        <v>1582500</v>
      </c>
      <c r="O32" s="92">
        <f t="shared" si="44"/>
        <v>1682500</v>
      </c>
      <c r="P32" s="92">
        <f t="shared" si="44"/>
        <v>1782500</v>
      </c>
      <c r="Q32" s="92">
        <f t="shared" si="44"/>
        <v>1882500</v>
      </c>
      <c r="R32" s="92">
        <f t="shared" si="44"/>
        <v>1982500</v>
      </c>
      <c r="S32" s="92">
        <f t="shared" si="43"/>
        <v>2082500</v>
      </c>
      <c r="T32" s="92"/>
      <c r="U32" s="92">
        <f t="shared" si="42"/>
        <v>0</v>
      </c>
      <c r="V32" s="92">
        <f>SUM(V30:V31)</f>
        <v>0</v>
      </c>
      <c r="W32" s="94">
        <f t="shared" si="42"/>
        <v>0</v>
      </c>
      <c r="X32" s="219">
        <f t="shared" si="42"/>
        <v>26682500</v>
      </c>
      <c r="Y32" s="52"/>
      <c r="Z32" s="52"/>
      <c r="AA32" s="52"/>
      <c r="AC32" s="88" t="s">
        <v>61</v>
      </c>
      <c r="AD32" s="89">
        <v>330000</v>
      </c>
      <c r="AE32" s="90" t="s">
        <v>61</v>
      </c>
      <c r="AF32" s="89">
        <v>380000</v>
      </c>
    </row>
    <row r="33" spans="1:36" ht="15" customHeight="1">
      <c r="A33" s="95" t="s">
        <v>49</v>
      </c>
      <c r="B33" s="62" t="str">
        <f>IF(B13="所得割非課税","所得割非課税",IF(B12&gt;(B11-B32),"調整あり","調整なし"))</f>
        <v>調整なし</v>
      </c>
      <c r="C33" s="62" t="str">
        <f t="shared" ref="C33:X33" si="45">IF(C13="所得割非課税","所得割非課税",IF(C12&gt;(C11-C32),"調整あり","調整なし"))</f>
        <v>調整なし</v>
      </c>
      <c r="D33" s="96" t="str">
        <f t="shared" si="45"/>
        <v>所得割非課税</v>
      </c>
      <c r="E33" s="97" t="str">
        <f t="shared" si="45"/>
        <v>調整なし</v>
      </c>
      <c r="F33" s="96" t="str">
        <f t="shared" ref="F33:S33" si="46">IF(F13="所得割非課税","所得割非課税",IF(F12&gt;(F11-F32),"調整あり","調整なし"))</f>
        <v>調整なし</v>
      </c>
      <c r="G33" s="96" t="str">
        <f t="shared" si="46"/>
        <v>調整なし</v>
      </c>
      <c r="H33" s="96" t="str">
        <f t="shared" ref="H33:R33" si="47">IF(H13="所得割非課税","所得割非課税",IF(H12&gt;(H11-H32),"調整あり","調整なし"))</f>
        <v>調整なし</v>
      </c>
      <c r="I33" s="96" t="str">
        <f t="shared" si="47"/>
        <v>調整なし</v>
      </c>
      <c r="J33" s="96" t="str">
        <f t="shared" si="47"/>
        <v>調整なし</v>
      </c>
      <c r="K33" s="96" t="str">
        <f t="shared" si="47"/>
        <v>調整なし</v>
      </c>
      <c r="L33" s="96" t="str">
        <f t="shared" si="47"/>
        <v>調整なし</v>
      </c>
      <c r="M33" s="96" t="str">
        <f t="shared" si="47"/>
        <v>調整なし</v>
      </c>
      <c r="N33" s="96" t="str">
        <f t="shared" si="47"/>
        <v>調整なし</v>
      </c>
      <c r="O33" s="96" t="str">
        <f t="shared" si="47"/>
        <v>調整なし</v>
      </c>
      <c r="P33" s="96" t="str">
        <f t="shared" si="47"/>
        <v>調整なし</v>
      </c>
      <c r="Q33" s="96" t="str">
        <f t="shared" si="47"/>
        <v>調整なし</v>
      </c>
      <c r="R33" s="96" t="str">
        <f t="shared" si="47"/>
        <v>調整なし</v>
      </c>
      <c r="S33" s="96" t="str">
        <f t="shared" si="46"/>
        <v>調整なし</v>
      </c>
      <c r="T33" s="96"/>
      <c r="U33" s="96" t="str">
        <f t="shared" si="45"/>
        <v>所得割非課税</v>
      </c>
      <c r="V33" s="96" t="str">
        <f t="shared" si="45"/>
        <v>所得割非課税</v>
      </c>
      <c r="W33" s="98" t="str">
        <f t="shared" si="45"/>
        <v>所得割非課税</v>
      </c>
      <c r="X33" s="220" t="str">
        <f t="shared" si="45"/>
        <v>調整なし</v>
      </c>
      <c r="Y33" s="99" t="s">
        <v>65</v>
      </c>
      <c r="Z33" s="52"/>
      <c r="AA33" s="52"/>
      <c r="AC33" s="88" t="s">
        <v>33</v>
      </c>
      <c r="AD33" s="89">
        <v>0</v>
      </c>
      <c r="AE33" s="90" t="s">
        <v>33</v>
      </c>
      <c r="AF33" s="89">
        <v>0</v>
      </c>
      <c r="AH33" s="6"/>
      <c r="AI33" s="6"/>
      <c r="AJ33" s="6"/>
    </row>
    <row r="34" spans="1:36" ht="15" customHeight="1">
      <c r="A34" s="95" t="s">
        <v>69</v>
      </c>
      <c r="B34" s="83">
        <f>IF(B33="所得割非課税",0,IF(B33="調整なし",0,(B12-(B11-B32)*B30/B32)))</f>
        <v>0</v>
      </c>
      <c r="C34" s="83">
        <f t="shared" ref="C34:X34" si="48">IF(C33="所得割非課税",0,IF(C33="調整なし",0,(C12-(C11-C32)*C30/C32)))</f>
        <v>0</v>
      </c>
      <c r="D34" s="100">
        <f t="shared" si="48"/>
        <v>0</v>
      </c>
      <c r="E34" s="101">
        <f t="shared" si="48"/>
        <v>0</v>
      </c>
      <c r="F34" s="100">
        <f t="shared" ref="F34:S34" si="49">IF(F33="所得割非課税",0,IF(F33="調整なし",0,(F12-(F11-F32)*F30/F32)))</f>
        <v>0</v>
      </c>
      <c r="G34" s="100">
        <f t="shared" si="49"/>
        <v>0</v>
      </c>
      <c r="H34" s="100">
        <f t="shared" ref="H34:R34" si="50">IF(H33="所得割非課税",0,IF(H33="調整なし",0,(H12-(H11-H32)*H30/H32)))</f>
        <v>0</v>
      </c>
      <c r="I34" s="100">
        <f t="shared" si="50"/>
        <v>0</v>
      </c>
      <c r="J34" s="100">
        <f t="shared" si="50"/>
        <v>0</v>
      </c>
      <c r="K34" s="100">
        <f t="shared" si="50"/>
        <v>0</v>
      </c>
      <c r="L34" s="100">
        <f t="shared" si="50"/>
        <v>0</v>
      </c>
      <c r="M34" s="100">
        <f t="shared" si="50"/>
        <v>0</v>
      </c>
      <c r="N34" s="100">
        <f t="shared" si="50"/>
        <v>0</v>
      </c>
      <c r="O34" s="100">
        <f t="shared" si="50"/>
        <v>0</v>
      </c>
      <c r="P34" s="100">
        <f t="shared" si="50"/>
        <v>0</v>
      </c>
      <c r="Q34" s="100">
        <f t="shared" si="50"/>
        <v>0</v>
      </c>
      <c r="R34" s="100">
        <f t="shared" si="50"/>
        <v>0</v>
      </c>
      <c r="S34" s="100">
        <f t="shared" si="49"/>
        <v>0</v>
      </c>
      <c r="T34" s="100"/>
      <c r="U34" s="100">
        <f t="shared" si="48"/>
        <v>0</v>
      </c>
      <c r="V34" s="100">
        <f t="shared" si="48"/>
        <v>0</v>
      </c>
      <c r="W34" s="102">
        <f t="shared" si="48"/>
        <v>0</v>
      </c>
      <c r="X34" s="221">
        <f t="shared" si="48"/>
        <v>0</v>
      </c>
      <c r="Y34" s="52"/>
      <c r="Z34" s="52"/>
      <c r="AA34" s="52"/>
      <c r="AC34" s="88" t="s">
        <v>64</v>
      </c>
      <c r="AD34" s="89">
        <v>330000</v>
      </c>
      <c r="AE34" s="90" t="s">
        <v>64</v>
      </c>
      <c r="AF34" s="89">
        <v>380000</v>
      </c>
      <c r="AH34" s="10"/>
      <c r="AI34" s="103"/>
      <c r="AJ34" s="6"/>
    </row>
    <row r="35" spans="1:36" ht="15" customHeight="1" thickBot="1">
      <c r="A35" s="104" t="s">
        <v>68</v>
      </c>
      <c r="B35" s="83">
        <f>IF(B33="所得割非課税",0,IF(B33="調整なし",0,(B12-(B11-B32)*B31/B32)))</f>
        <v>0</v>
      </c>
      <c r="C35" s="83">
        <f t="shared" ref="C35:X35" si="51">IF(C33="所得割非課税",0,IF(C33="調整なし",0,(C12-(C11-C32)*C31/C32)))</f>
        <v>0</v>
      </c>
      <c r="D35" s="100">
        <f t="shared" si="51"/>
        <v>0</v>
      </c>
      <c r="E35" s="101">
        <f t="shared" si="51"/>
        <v>0</v>
      </c>
      <c r="F35" s="100">
        <f t="shared" ref="F35:S35" si="52">IF(F33="所得割非課税",0,IF(F33="調整なし",0,(F12-(F11-F32)*F31/F32)))</f>
        <v>0</v>
      </c>
      <c r="G35" s="100">
        <f t="shared" si="52"/>
        <v>0</v>
      </c>
      <c r="H35" s="100">
        <f t="shared" ref="H35:R35" si="53">IF(H33="所得割非課税",0,IF(H33="調整なし",0,(H12-(H11-H32)*H31/H32)))</f>
        <v>0</v>
      </c>
      <c r="I35" s="100">
        <f t="shared" si="53"/>
        <v>0</v>
      </c>
      <c r="J35" s="100">
        <f t="shared" si="53"/>
        <v>0</v>
      </c>
      <c r="K35" s="100">
        <f t="shared" si="53"/>
        <v>0</v>
      </c>
      <c r="L35" s="100">
        <f t="shared" si="53"/>
        <v>0</v>
      </c>
      <c r="M35" s="100">
        <f t="shared" si="53"/>
        <v>0</v>
      </c>
      <c r="N35" s="100">
        <f t="shared" si="53"/>
        <v>0</v>
      </c>
      <c r="O35" s="100">
        <f t="shared" si="53"/>
        <v>0</v>
      </c>
      <c r="P35" s="100">
        <f t="shared" si="53"/>
        <v>0</v>
      </c>
      <c r="Q35" s="100">
        <f t="shared" si="53"/>
        <v>0</v>
      </c>
      <c r="R35" s="100">
        <f t="shared" si="53"/>
        <v>0</v>
      </c>
      <c r="S35" s="100">
        <f t="shared" si="52"/>
        <v>0</v>
      </c>
      <c r="T35" s="100"/>
      <c r="U35" s="100">
        <f t="shared" si="51"/>
        <v>0</v>
      </c>
      <c r="V35" s="100">
        <f t="shared" si="51"/>
        <v>0</v>
      </c>
      <c r="W35" s="102">
        <f>IF(W33="所得割非課税",0,IF(W33="調整なし",0,(W12-(W11-W32)*W31/W32)))</f>
        <v>0</v>
      </c>
      <c r="X35" s="221">
        <f t="shared" si="51"/>
        <v>0</v>
      </c>
      <c r="Y35" s="52"/>
      <c r="Z35" s="52"/>
      <c r="AA35" s="52"/>
      <c r="AC35" s="88" t="s">
        <v>34</v>
      </c>
      <c r="AD35" s="89">
        <v>450000</v>
      </c>
      <c r="AE35" s="90" t="s">
        <v>35</v>
      </c>
      <c r="AF35" s="89">
        <v>630000</v>
      </c>
      <c r="AH35" s="80"/>
      <c r="AI35" s="80"/>
      <c r="AJ35" s="6"/>
    </row>
    <row r="36" spans="1:36" ht="15" customHeight="1">
      <c r="A36" s="48" t="s">
        <v>70</v>
      </c>
      <c r="B36" s="49">
        <f>IF(B30-B34&gt;0,B30-B34,0)</f>
        <v>221700</v>
      </c>
      <c r="C36" s="49">
        <f t="shared" ref="C36:X37" si="54">IF(C30-C34&gt;0,C30-C34,0)</f>
        <v>221700</v>
      </c>
      <c r="D36" s="80">
        <f t="shared" si="54"/>
        <v>0</v>
      </c>
      <c r="E36" s="81">
        <f t="shared" si="54"/>
        <v>422100</v>
      </c>
      <c r="F36" s="80">
        <f t="shared" ref="F36:S36" si="55">IF(F30-F34&gt;0,F30-F34,0)</f>
        <v>480300</v>
      </c>
      <c r="G36" s="80">
        <f t="shared" si="55"/>
        <v>538500</v>
      </c>
      <c r="H36" s="80">
        <f t="shared" ref="H36:R36" si="56">IF(H30-H34&gt;0,H30-H34,0)</f>
        <v>596700</v>
      </c>
      <c r="I36" s="80">
        <f t="shared" si="56"/>
        <v>654900</v>
      </c>
      <c r="J36" s="80">
        <f t="shared" si="56"/>
        <v>713100</v>
      </c>
      <c r="K36" s="80">
        <f t="shared" si="56"/>
        <v>771300</v>
      </c>
      <c r="L36" s="80">
        <f t="shared" si="56"/>
        <v>829500</v>
      </c>
      <c r="M36" s="80">
        <f t="shared" si="56"/>
        <v>889500</v>
      </c>
      <c r="N36" s="80">
        <f t="shared" si="56"/>
        <v>949500</v>
      </c>
      <c r="O36" s="80">
        <f t="shared" si="56"/>
        <v>1009500</v>
      </c>
      <c r="P36" s="80">
        <f t="shared" si="56"/>
        <v>1069500</v>
      </c>
      <c r="Q36" s="80">
        <f t="shared" si="56"/>
        <v>1129500</v>
      </c>
      <c r="R36" s="80">
        <f t="shared" si="56"/>
        <v>1189500</v>
      </c>
      <c r="S36" s="80">
        <f t="shared" si="55"/>
        <v>1249500</v>
      </c>
      <c r="T36" s="80"/>
      <c r="U36" s="80">
        <f t="shared" si="54"/>
        <v>0</v>
      </c>
      <c r="V36" s="80">
        <f t="shared" si="54"/>
        <v>0</v>
      </c>
      <c r="W36" s="82">
        <f t="shared" si="54"/>
        <v>0</v>
      </c>
      <c r="X36" s="218">
        <f t="shared" si="54"/>
        <v>16009500</v>
      </c>
      <c r="Y36" s="52"/>
      <c r="Z36" s="52"/>
      <c r="AA36" s="301" t="s">
        <v>52</v>
      </c>
      <c r="AB36" s="302"/>
      <c r="AC36" s="303" t="s">
        <v>66</v>
      </c>
      <c r="AD36" s="304"/>
      <c r="AE36" s="105"/>
      <c r="AF36" s="106"/>
      <c r="AH36" s="80"/>
      <c r="AI36" s="107"/>
      <c r="AJ36" s="6"/>
    </row>
    <row r="37" spans="1:36" ht="15" customHeight="1">
      <c r="A37" s="48" t="s">
        <v>71</v>
      </c>
      <c r="B37" s="108">
        <f>IF(B31-B35&gt;0,B31-B35,0)</f>
        <v>147800</v>
      </c>
      <c r="C37" s="49">
        <f t="shared" si="54"/>
        <v>147800</v>
      </c>
      <c r="D37" s="80">
        <f t="shared" si="54"/>
        <v>0</v>
      </c>
      <c r="E37" s="81">
        <f t="shared" si="54"/>
        <v>281400</v>
      </c>
      <c r="F37" s="80">
        <f t="shared" ref="F37:S37" si="57">IF(F31-F35&gt;0,F31-F35,0)</f>
        <v>320200</v>
      </c>
      <c r="G37" s="80">
        <f t="shared" si="57"/>
        <v>359000</v>
      </c>
      <c r="H37" s="80">
        <f t="shared" ref="H37:R37" si="58">IF(H31-H35&gt;0,H31-H35,0)</f>
        <v>397800</v>
      </c>
      <c r="I37" s="80">
        <f t="shared" si="58"/>
        <v>436600</v>
      </c>
      <c r="J37" s="80">
        <f t="shared" si="58"/>
        <v>475400</v>
      </c>
      <c r="K37" s="80">
        <f t="shared" si="58"/>
        <v>514200</v>
      </c>
      <c r="L37" s="80">
        <f t="shared" si="58"/>
        <v>553000</v>
      </c>
      <c r="M37" s="80">
        <f t="shared" si="58"/>
        <v>593000</v>
      </c>
      <c r="N37" s="80">
        <f t="shared" si="58"/>
        <v>633000</v>
      </c>
      <c r="O37" s="80">
        <f t="shared" si="58"/>
        <v>673000</v>
      </c>
      <c r="P37" s="80">
        <f t="shared" si="58"/>
        <v>713000</v>
      </c>
      <c r="Q37" s="80">
        <f t="shared" si="58"/>
        <v>753000</v>
      </c>
      <c r="R37" s="80">
        <f t="shared" si="58"/>
        <v>793000</v>
      </c>
      <c r="S37" s="80">
        <f t="shared" si="57"/>
        <v>833000</v>
      </c>
      <c r="T37" s="80"/>
      <c r="U37" s="80">
        <f t="shared" si="54"/>
        <v>0</v>
      </c>
      <c r="V37" s="80">
        <f t="shared" si="54"/>
        <v>0</v>
      </c>
      <c r="W37" s="82">
        <f t="shared" si="54"/>
        <v>0</v>
      </c>
      <c r="X37" s="218">
        <f t="shared" si="54"/>
        <v>10673000</v>
      </c>
      <c r="Y37" s="52"/>
      <c r="Z37" s="52"/>
      <c r="AA37" s="28" t="s">
        <v>36</v>
      </c>
      <c r="AB37" s="69"/>
      <c r="AC37" s="28" t="s">
        <v>36</v>
      </c>
      <c r="AD37" s="69"/>
      <c r="AE37" s="28" t="s">
        <v>36</v>
      </c>
      <c r="AF37" s="69"/>
      <c r="AH37" s="80"/>
      <c r="AI37" s="107"/>
      <c r="AJ37" s="6"/>
    </row>
    <row r="38" spans="1:36" ht="15" customHeight="1" thickBot="1">
      <c r="A38" s="109" t="s">
        <v>72</v>
      </c>
      <c r="B38" s="110">
        <f>SUM(B36:B37)</f>
        <v>369500</v>
      </c>
      <c r="C38" s="111">
        <f>SUM(C36:C37)</f>
        <v>369500</v>
      </c>
      <c r="D38" s="112">
        <f t="shared" ref="D38:X38" si="59">SUM(D36:D37)</f>
        <v>0</v>
      </c>
      <c r="E38" s="113">
        <f t="shared" si="59"/>
        <v>703500</v>
      </c>
      <c r="F38" s="112">
        <f t="shared" ref="F38:S38" si="60">SUM(F36:F37)</f>
        <v>800500</v>
      </c>
      <c r="G38" s="112">
        <f t="shared" si="60"/>
        <v>897500</v>
      </c>
      <c r="H38" s="112">
        <f t="shared" ref="H38:R38" si="61">SUM(H36:H37)</f>
        <v>994500</v>
      </c>
      <c r="I38" s="112">
        <f t="shared" si="61"/>
        <v>1091500</v>
      </c>
      <c r="J38" s="112">
        <f t="shared" si="61"/>
        <v>1188500</v>
      </c>
      <c r="K38" s="112">
        <f t="shared" si="61"/>
        <v>1285500</v>
      </c>
      <c r="L38" s="112">
        <f t="shared" si="61"/>
        <v>1382500</v>
      </c>
      <c r="M38" s="112">
        <f t="shared" si="61"/>
        <v>1482500</v>
      </c>
      <c r="N38" s="112">
        <f t="shared" si="61"/>
        <v>1582500</v>
      </c>
      <c r="O38" s="112">
        <f t="shared" si="61"/>
        <v>1682500</v>
      </c>
      <c r="P38" s="112">
        <f t="shared" si="61"/>
        <v>1782500</v>
      </c>
      <c r="Q38" s="112">
        <f t="shared" si="61"/>
        <v>1882500</v>
      </c>
      <c r="R38" s="112">
        <f t="shared" si="61"/>
        <v>1982500</v>
      </c>
      <c r="S38" s="112">
        <f t="shared" si="60"/>
        <v>2082500</v>
      </c>
      <c r="T38" s="112"/>
      <c r="U38" s="112">
        <f t="shared" si="59"/>
        <v>0</v>
      </c>
      <c r="V38" s="112">
        <f t="shared" si="59"/>
        <v>0</v>
      </c>
      <c r="W38" s="114">
        <f t="shared" si="59"/>
        <v>0</v>
      </c>
      <c r="X38" s="222">
        <f t="shared" si="59"/>
        <v>26682500</v>
      </c>
      <c r="Y38" s="52"/>
      <c r="Z38" s="52"/>
      <c r="AA38" s="28">
        <v>-2000000</v>
      </c>
      <c r="AB38" s="33">
        <v>0</v>
      </c>
      <c r="AC38" s="28">
        <v>-2000000</v>
      </c>
      <c r="AD38" s="33">
        <v>0</v>
      </c>
      <c r="AE38" s="28">
        <v>-2000000</v>
      </c>
      <c r="AF38" s="274">
        <v>0</v>
      </c>
      <c r="AH38" s="80"/>
      <c r="AI38" s="107"/>
      <c r="AJ38" s="6"/>
    </row>
    <row r="39" spans="1:36" ht="15" customHeight="1" thickBot="1">
      <c r="A39" s="115" t="s">
        <v>92</v>
      </c>
      <c r="B39" s="116"/>
      <c r="C39" s="116"/>
      <c r="D39" s="116"/>
      <c r="E39" s="166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244">
        <f>入力欄!D21</f>
        <v>0</v>
      </c>
      <c r="X39" s="223"/>
      <c r="Y39" s="52"/>
      <c r="Z39" s="52"/>
      <c r="AA39" s="28">
        <v>1</v>
      </c>
      <c r="AB39" s="33">
        <v>0.06</v>
      </c>
      <c r="AC39" s="28">
        <v>1</v>
      </c>
      <c r="AD39" s="33">
        <v>0.04</v>
      </c>
      <c r="AE39" s="28">
        <v>1</v>
      </c>
      <c r="AF39" s="274">
        <v>5.1049999999999998E-2</v>
      </c>
      <c r="AH39" s="80"/>
      <c r="AI39" s="107"/>
      <c r="AJ39" s="6"/>
    </row>
    <row r="40" spans="1:36" ht="15" customHeight="1" thickTop="1" thickBot="1">
      <c r="A40" s="9" t="s">
        <v>96</v>
      </c>
      <c r="B40" s="10">
        <f>B67</f>
        <v>0</v>
      </c>
      <c r="C40" s="10">
        <f>C67</f>
        <v>0</v>
      </c>
      <c r="D40" s="10">
        <f>D67</f>
        <v>0</v>
      </c>
      <c r="E40" s="11">
        <f>E67</f>
        <v>0</v>
      </c>
      <c r="F40" s="10">
        <f t="shared" ref="F40:S40" si="62">F67</f>
        <v>0</v>
      </c>
      <c r="G40" s="10">
        <f t="shared" si="62"/>
        <v>0</v>
      </c>
      <c r="H40" s="10">
        <f t="shared" ref="H40:R40" si="63">H67</f>
        <v>0</v>
      </c>
      <c r="I40" s="10">
        <f t="shared" si="63"/>
        <v>0</v>
      </c>
      <c r="J40" s="10">
        <f t="shared" si="63"/>
        <v>0</v>
      </c>
      <c r="K40" s="10">
        <f t="shared" si="63"/>
        <v>0</v>
      </c>
      <c r="L40" s="10">
        <f t="shared" si="63"/>
        <v>0</v>
      </c>
      <c r="M40" s="10">
        <f t="shared" si="63"/>
        <v>0</v>
      </c>
      <c r="N40" s="10">
        <f t="shared" si="63"/>
        <v>0</v>
      </c>
      <c r="O40" s="10">
        <f t="shared" si="63"/>
        <v>0</v>
      </c>
      <c r="P40" s="10">
        <f t="shared" si="63"/>
        <v>0</v>
      </c>
      <c r="Q40" s="10">
        <f t="shared" si="63"/>
        <v>0</v>
      </c>
      <c r="R40" s="10">
        <f t="shared" si="63"/>
        <v>0</v>
      </c>
      <c r="S40" s="10">
        <f t="shared" si="62"/>
        <v>0</v>
      </c>
      <c r="T40" s="10"/>
      <c r="U40" s="10">
        <f t="shared" ref="U40:W40" si="64">U67</f>
        <v>0</v>
      </c>
      <c r="V40" s="10">
        <f t="shared" si="64"/>
        <v>0</v>
      </c>
      <c r="W40" s="245">
        <f t="shared" si="64"/>
        <v>0</v>
      </c>
      <c r="X40" s="289">
        <f>X67</f>
        <v>0</v>
      </c>
      <c r="Y40" s="288">
        <v>0.2</v>
      </c>
      <c r="Z40" s="52"/>
      <c r="AA40" s="28"/>
      <c r="AB40" s="33"/>
      <c r="AC40" s="28"/>
      <c r="AD40" s="33"/>
      <c r="AE40" s="28">
        <v>1950001</v>
      </c>
      <c r="AF40" s="274">
        <v>0.1021</v>
      </c>
      <c r="AH40" s="80"/>
      <c r="AI40" s="107"/>
      <c r="AJ40" s="6"/>
    </row>
    <row r="41" spans="1:36" ht="15" customHeight="1" thickTop="1">
      <c r="A41" s="9" t="s">
        <v>93</v>
      </c>
      <c r="B41" s="10"/>
      <c r="C41" s="10"/>
      <c r="D41" s="10"/>
      <c r="E41" s="11">
        <f t="shared" ref="E41:W41" si="65">IF(E39&lt;=2000,0,IF(E11*30%&gt;E39,(E39-2000)*0.1,(E11*30%-2000)*0.1))</f>
        <v>0</v>
      </c>
      <c r="F41" s="10">
        <f t="shared" ref="F41:S41" si="66">IF(F39&lt;=2000,0,IF(F11*30%&gt;F39,(F39-2000)*0.1,(F11*30%-2000)*0.1))</f>
        <v>0</v>
      </c>
      <c r="G41" s="10">
        <f t="shared" si="66"/>
        <v>0</v>
      </c>
      <c r="H41" s="10">
        <f t="shared" ref="H41:R41" si="67">IF(H39&lt;=2000,0,IF(H11*30%&gt;H39,(H39-2000)*0.1,(H11*30%-2000)*0.1))</f>
        <v>0</v>
      </c>
      <c r="I41" s="10">
        <f t="shared" si="67"/>
        <v>0</v>
      </c>
      <c r="J41" s="10">
        <f t="shared" si="67"/>
        <v>0</v>
      </c>
      <c r="K41" s="10">
        <f t="shared" si="67"/>
        <v>0</v>
      </c>
      <c r="L41" s="10">
        <f t="shared" si="67"/>
        <v>0</v>
      </c>
      <c r="M41" s="10">
        <f t="shared" si="67"/>
        <v>0</v>
      </c>
      <c r="N41" s="10">
        <f t="shared" si="67"/>
        <v>0</v>
      </c>
      <c r="O41" s="10">
        <f t="shared" si="67"/>
        <v>0</v>
      </c>
      <c r="P41" s="10">
        <f t="shared" si="67"/>
        <v>0</v>
      </c>
      <c r="Q41" s="10">
        <f t="shared" si="67"/>
        <v>0</v>
      </c>
      <c r="R41" s="10">
        <f t="shared" si="67"/>
        <v>0</v>
      </c>
      <c r="S41" s="10">
        <f t="shared" si="66"/>
        <v>0</v>
      </c>
      <c r="T41" s="10"/>
      <c r="U41" s="10">
        <f t="shared" si="65"/>
        <v>0</v>
      </c>
      <c r="V41" s="10">
        <f t="shared" si="65"/>
        <v>0</v>
      </c>
      <c r="W41" s="245">
        <f t="shared" si="65"/>
        <v>0</v>
      </c>
      <c r="X41" s="289">
        <f t="shared" ref="X41" si="68">(X39-2000)*0.1</f>
        <v>-200</v>
      </c>
      <c r="Y41" s="52"/>
      <c r="Z41" s="52"/>
      <c r="AA41" s="28"/>
      <c r="AB41" s="33"/>
      <c r="AC41" s="28"/>
      <c r="AD41" s="33"/>
      <c r="AE41" s="28">
        <v>3300001</v>
      </c>
      <c r="AF41" s="274">
        <v>0.20419999999999999</v>
      </c>
      <c r="AH41" s="80"/>
      <c r="AI41" s="107"/>
      <c r="AJ41" s="6"/>
    </row>
    <row r="42" spans="1:36" ht="15" customHeight="1">
      <c r="A42" s="251" t="s">
        <v>94</v>
      </c>
      <c r="B42" s="10"/>
      <c r="C42" s="10"/>
      <c r="D42" s="10"/>
      <c r="E42" s="210">
        <f t="shared" ref="E42:S42" si="69">IF(E41=0,0,IF((E39-2000)*(0.9-VLOOKUP(E69,$AE$38:$AF$45,2))&gt;E38*$Y$40,E38*$Y$40,(E39-2000)*(0.9-VLOOKUP(E69,$AE$38:$AF$45,2))))</f>
        <v>0</v>
      </c>
      <c r="F42" s="242">
        <f t="shared" si="69"/>
        <v>0</v>
      </c>
      <c r="G42" s="242">
        <f t="shared" si="69"/>
        <v>0</v>
      </c>
      <c r="H42" s="242">
        <f t="shared" si="69"/>
        <v>0</v>
      </c>
      <c r="I42" s="242">
        <f t="shared" si="69"/>
        <v>0</v>
      </c>
      <c r="J42" s="242">
        <f t="shared" si="69"/>
        <v>0</v>
      </c>
      <c r="K42" s="242">
        <f t="shared" si="69"/>
        <v>0</v>
      </c>
      <c r="L42" s="242">
        <f t="shared" si="69"/>
        <v>0</v>
      </c>
      <c r="M42" s="242">
        <f t="shared" si="69"/>
        <v>0</v>
      </c>
      <c r="N42" s="242">
        <f t="shared" si="69"/>
        <v>0</v>
      </c>
      <c r="O42" s="242">
        <f t="shared" si="69"/>
        <v>0</v>
      </c>
      <c r="P42" s="242">
        <f t="shared" si="69"/>
        <v>0</v>
      </c>
      <c r="Q42" s="242">
        <f t="shared" si="69"/>
        <v>0</v>
      </c>
      <c r="R42" s="242">
        <f t="shared" si="69"/>
        <v>0</v>
      </c>
      <c r="S42" s="242">
        <f t="shared" si="69"/>
        <v>0</v>
      </c>
      <c r="T42" s="242"/>
      <c r="U42" s="242">
        <f>IF(U41=0,0,IF((U39-2000)*(0.9-VLOOKUP(U69,$AE$38:$AF$45,2))&gt;U38*$Y$40,U38*$Y$40,(U39-2000)*(0.9-VLOOKUP(U69,$AE$38:$AF$45,2))))</f>
        <v>0</v>
      </c>
      <c r="V42" s="242">
        <f>IF(V41=0,0,IF((V39-2000)*(0.9-VLOOKUP(V69,$AE$38:$AF$45,2))&gt;V38*$Y$40,V38*$Y$40,(V39-2000)*(0.9-VLOOKUP(V69,$AE$38:$AF$45,2))))</f>
        <v>0</v>
      </c>
      <c r="W42" s="246">
        <f>IF(W41=0,0,IF((W39-2000)*(0.9-VLOOKUP(W69,$AE$38:$AF$45,2))&gt;W38*$Y$40,W38*$Y$40,(W39-2000)*(0.9-VLOOKUP(W69,$AE$38:$AF$45,2))))</f>
        <v>0</v>
      </c>
      <c r="X42" s="289">
        <f t="shared" ref="X42" si="70">IF(X41=0,0,IF((X39-2000)*(0.9-VLOOKUP(X69,$AE$38:$AF$44,2))&gt;X38*$Y$40,X38*$Y$40,(X39-2000)*(0.9-VLOOKUP(X69,$AE$38:$AF$44,2))))</f>
        <v>-983.2</v>
      </c>
      <c r="Y42" s="52"/>
      <c r="Z42" s="52"/>
      <c r="AA42" s="28"/>
      <c r="AB42" s="33"/>
      <c r="AC42" s="28"/>
      <c r="AD42" s="33"/>
      <c r="AE42" s="28">
        <v>6950001</v>
      </c>
      <c r="AF42" s="274">
        <v>0.23483000000000001</v>
      </c>
      <c r="AH42" s="80"/>
      <c r="AI42" s="107"/>
      <c r="AJ42" s="6"/>
    </row>
    <row r="43" spans="1:36" ht="15" customHeight="1">
      <c r="A43" s="252" t="s">
        <v>97</v>
      </c>
      <c r="B43" s="117"/>
      <c r="C43" s="117"/>
      <c r="D43" s="117"/>
      <c r="E43" s="118">
        <f>SUM(E41:E42)</f>
        <v>0</v>
      </c>
      <c r="F43" s="117">
        <f t="shared" ref="F43:S43" si="71">SUM(F41:F42)</f>
        <v>0</v>
      </c>
      <c r="G43" s="117">
        <f t="shared" si="71"/>
        <v>0</v>
      </c>
      <c r="H43" s="117">
        <f t="shared" ref="H43:R43" si="72">SUM(H41:H42)</f>
        <v>0</v>
      </c>
      <c r="I43" s="117">
        <f t="shared" si="72"/>
        <v>0</v>
      </c>
      <c r="J43" s="117">
        <f t="shared" si="72"/>
        <v>0</v>
      </c>
      <c r="K43" s="117">
        <f t="shared" si="72"/>
        <v>0</v>
      </c>
      <c r="L43" s="117">
        <f t="shared" si="72"/>
        <v>0</v>
      </c>
      <c r="M43" s="117">
        <f t="shared" si="72"/>
        <v>0</v>
      </c>
      <c r="N43" s="117">
        <f t="shared" si="72"/>
        <v>0</v>
      </c>
      <c r="O43" s="117">
        <f t="shared" si="72"/>
        <v>0</v>
      </c>
      <c r="P43" s="117">
        <f t="shared" si="72"/>
        <v>0</v>
      </c>
      <c r="Q43" s="117">
        <f t="shared" si="72"/>
        <v>0</v>
      </c>
      <c r="R43" s="117">
        <f t="shared" si="72"/>
        <v>0</v>
      </c>
      <c r="S43" s="117">
        <f t="shared" si="71"/>
        <v>0</v>
      </c>
      <c r="T43" s="117"/>
      <c r="U43" s="117">
        <f t="shared" ref="U43:W43" si="73">SUM(U41:U42)</f>
        <v>0</v>
      </c>
      <c r="V43" s="117">
        <f t="shared" si="73"/>
        <v>0</v>
      </c>
      <c r="W43" s="247">
        <f t="shared" si="73"/>
        <v>0</v>
      </c>
      <c r="X43" s="290">
        <f t="shared" ref="X43:X44" si="74">SUM(X39:X41)</f>
        <v>-200</v>
      </c>
      <c r="Y43" s="52"/>
      <c r="Z43" s="52"/>
      <c r="AA43" s="28"/>
      <c r="AB43" s="33"/>
      <c r="AC43" s="28"/>
      <c r="AD43" s="33"/>
      <c r="AE43" s="28">
        <v>9000001</v>
      </c>
      <c r="AF43" s="274">
        <v>0.33693000000000001</v>
      </c>
      <c r="AH43" s="80"/>
      <c r="AI43" s="107"/>
      <c r="AJ43" s="6"/>
    </row>
    <row r="44" spans="1:36" ht="15" customHeight="1">
      <c r="A44" s="252" t="s">
        <v>95</v>
      </c>
      <c r="B44" s="117"/>
      <c r="C44" s="117"/>
      <c r="D44" s="117"/>
      <c r="E44" s="118">
        <f>SUM(E40:E42)</f>
        <v>0</v>
      </c>
      <c r="F44" s="117">
        <f t="shared" ref="F44:S44" si="75">SUM(F40:F42)</f>
        <v>0</v>
      </c>
      <c r="G44" s="117">
        <f t="shared" si="75"/>
        <v>0</v>
      </c>
      <c r="H44" s="117">
        <f t="shared" ref="H44:R44" si="76">SUM(H40:H42)</f>
        <v>0</v>
      </c>
      <c r="I44" s="117">
        <f t="shared" si="76"/>
        <v>0</v>
      </c>
      <c r="J44" s="117">
        <f t="shared" si="76"/>
        <v>0</v>
      </c>
      <c r="K44" s="117">
        <f t="shared" si="76"/>
        <v>0</v>
      </c>
      <c r="L44" s="117">
        <f t="shared" si="76"/>
        <v>0</v>
      </c>
      <c r="M44" s="117">
        <f t="shared" si="76"/>
        <v>0</v>
      </c>
      <c r="N44" s="117">
        <f t="shared" si="76"/>
        <v>0</v>
      </c>
      <c r="O44" s="117">
        <f t="shared" si="76"/>
        <v>0</v>
      </c>
      <c r="P44" s="117">
        <f t="shared" si="76"/>
        <v>0</v>
      </c>
      <c r="Q44" s="117">
        <f t="shared" si="76"/>
        <v>0</v>
      </c>
      <c r="R44" s="117">
        <f t="shared" si="76"/>
        <v>0</v>
      </c>
      <c r="S44" s="117">
        <f t="shared" si="75"/>
        <v>0</v>
      </c>
      <c r="T44" s="117"/>
      <c r="U44" s="117">
        <f t="shared" ref="U44:W44" si="77">SUM(U40:U42)</f>
        <v>0</v>
      </c>
      <c r="V44" s="117">
        <f t="shared" si="77"/>
        <v>0</v>
      </c>
      <c r="W44" s="247">
        <f t="shared" si="77"/>
        <v>0</v>
      </c>
      <c r="X44" s="290">
        <f t="shared" si="74"/>
        <v>-1183.2</v>
      </c>
      <c r="Y44" s="52"/>
      <c r="Z44" s="52"/>
      <c r="AA44" s="28"/>
      <c r="AB44" s="69"/>
      <c r="AC44" s="28"/>
      <c r="AD44" s="69"/>
      <c r="AE44" s="28">
        <v>18000001</v>
      </c>
      <c r="AF44" s="274">
        <v>0.40839999999999999</v>
      </c>
      <c r="AH44" s="6"/>
      <c r="AI44" s="6"/>
      <c r="AJ44" s="6"/>
    </row>
    <row r="45" spans="1:36" ht="15" customHeight="1" thickBot="1">
      <c r="A45" s="253" t="s">
        <v>121</v>
      </c>
      <c r="B45" s="49">
        <f t="shared" ref="B45:X45" si="78">ROUNDUP(B32*0.1,-2)</f>
        <v>37000</v>
      </c>
      <c r="C45" s="49">
        <f t="shared" si="78"/>
        <v>37000</v>
      </c>
      <c r="D45" s="119">
        <f t="shared" si="78"/>
        <v>0</v>
      </c>
      <c r="E45" s="120">
        <f t="shared" ref="E45:S45" si="79">ROUND(E32*$Y$40,0)</f>
        <v>140700</v>
      </c>
      <c r="F45" s="119">
        <f t="shared" si="79"/>
        <v>160100</v>
      </c>
      <c r="G45" s="119">
        <f t="shared" si="79"/>
        <v>179500</v>
      </c>
      <c r="H45" s="119">
        <f t="shared" si="79"/>
        <v>198900</v>
      </c>
      <c r="I45" s="119">
        <f t="shared" si="79"/>
        <v>218300</v>
      </c>
      <c r="J45" s="119">
        <f t="shared" si="79"/>
        <v>237700</v>
      </c>
      <c r="K45" s="119">
        <f t="shared" si="79"/>
        <v>257100</v>
      </c>
      <c r="L45" s="119">
        <f t="shared" si="79"/>
        <v>276500</v>
      </c>
      <c r="M45" s="119">
        <f t="shared" si="79"/>
        <v>296500</v>
      </c>
      <c r="N45" s="119">
        <f t="shared" si="79"/>
        <v>316500</v>
      </c>
      <c r="O45" s="119">
        <f t="shared" si="79"/>
        <v>336500</v>
      </c>
      <c r="P45" s="119">
        <f t="shared" si="79"/>
        <v>356500</v>
      </c>
      <c r="Q45" s="119">
        <f t="shared" si="79"/>
        <v>376500</v>
      </c>
      <c r="R45" s="119">
        <f t="shared" si="79"/>
        <v>396500</v>
      </c>
      <c r="S45" s="119">
        <f t="shared" si="79"/>
        <v>416500</v>
      </c>
      <c r="T45" s="119"/>
      <c r="U45" s="119">
        <f>ROUND(U32*$Y$40,0)</f>
        <v>0</v>
      </c>
      <c r="V45" s="119">
        <f>ROUND(V32*$Y$40,0)</f>
        <v>0</v>
      </c>
      <c r="W45" s="121">
        <f>ROUND(W32*$Y$40,0)</f>
        <v>0</v>
      </c>
      <c r="X45" s="224">
        <f t="shared" si="78"/>
        <v>2668300</v>
      </c>
      <c r="Y45" s="52"/>
      <c r="Z45" s="206"/>
      <c r="AA45" s="205"/>
      <c r="AB45" s="72"/>
      <c r="AC45" s="28"/>
      <c r="AD45" s="69"/>
      <c r="AE45" s="207">
        <v>40000001</v>
      </c>
      <c r="AF45" s="275">
        <v>0.45945000000000003</v>
      </c>
      <c r="AH45" s="6"/>
      <c r="AI45" s="6"/>
      <c r="AJ45" s="6"/>
    </row>
    <row r="46" spans="1:36" ht="15" customHeight="1">
      <c r="A46" s="253" t="s">
        <v>79</v>
      </c>
      <c r="B46" s="122">
        <f>0.9-VLOOKUP(B69,$AE$38:$AF$44,2)</f>
        <v>0.69579999999999997</v>
      </c>
      <c r="C46" s="122">
        <f>0.9-VLOOKUP(C69,$AE$38:$AF$44,2)</f>
        <v>0.69579999999999997</v>
      </c>
      <c r="D46" s="123">
        <f>0.9-VLOOKUP(D69,$AE$38:$AF$44,2)</f>
        <v>0.9</v>
      </c>
      <c r="E46" s="208">
        <f t="shared" ref="E46:S46" si="80">0.9-VLOOKUP(E69,$AE$38:$AF$45,2)</f>
        <v>0.66517000000000004</v>
      </c>
      <c r="F46" s="243">
        <f t="shared" si="80"/>
        <v>0.66517000000000004</v>
      </c>
      <c r="G46" s="243">
        <f t="shared" si="80"/>
        <v>0.66517000000000004</v>
      </c>
      <c r="H46" s="243">
        <f t="shared" si="80"/>
        <v>0.56306999999999996</v>
      </c>
      <c r="I46" s="243">
        <f t="shared" si="80"/>
        <v>0.56306999999999996</v>
      </c>
      <c r="J46" s="243">
        <f t="shared" si="80"/>
        <v>0.56306999999999996</v>
      </c>
      <c r="K46" s="243">
        <f t="shared" si="80"/>
        <v>0.56306999999999996</v>
      </c>
      <c r="L46" s="243">
        <f t="shared" si="80"/>
        <v>0.56306999999999996</v>
      </c>
      <c r="M46" s="243">
        <f t="shared" si="80"/>
        <v>0.56306999999999996</v>
      </c>
      <c r="N46" s="243">
        <f t="shared" si="80"/>
        <v>0.56306999999999996</v>
      </c>
      <c r="O46" s="243">
        <f t="shared" si="80"/>
        <v>0.56306999999999996</v>
      </c>
      <c r="P46" s="243">
        <f t="shared" si="80"/>
        <v>0.56306999999999996</v>
      </c>
      <c r="Q46" s="243">
        <f t="shared" si="80"/>
        <v>0.49160000000000004</v>
      </c>
      <c r="R46" s="243">
        <f t="shared" si="80"/>
        <v>0.49160000000000004</v>
      </c>
      <c r="S46" s="243">
        <f t="shared" si="80"/>
        <v>0.49160000000000004</v>
      </c>
      <c r="T46" s="243"/>
      <c r="U46" s="243">
        <f>0.9-VLOOKUP(U69,$AE$38:$AF$45,2)</f>
        <v>0.9</v>
      </c>
      <c r="V46" s="243">
        <f>0.9-VLOOKUP(V69,$AE$38:$AF$45,2)</f>
        <v>0.9</v>
      </c>
      <c r="W46" s="248">
        <f>0.9-VLOOKUP(W69,$AE$38:$AF$45,2)</f>
        <v>0.9</v>
      </c>
      <c r="X46" s="225">
        <f>0.9-VLOOKUP(X69,$AE$38:$AF$44,2)</f>
        <v>0.49160000000000004</v>
      </c>
      <c r="Y46" s="52"/>
      <c r="Z46" s="52"/>
      <c r="AA46" s="52"/>
      <c r="AC46" s="204"/>
      <c r="AD46" s="203"/>
      <c r="AE46" s="204"/>
      <c r="AF46" s="203"/>
      <c r="AH46" s="6"/>
      <c r="AI46" s="6"/>
      <c r="AJ46" s="6"/>
    </row>
    <row r="47" spans="1:36" ht="15" customHeight="1" thickBot="1">
      <c r="A47" s="253" t="s">
        <v>80</v>
      </c>
      <c r="B47" s="49">
        <f>B45/B46+2000</f>
        <v>55176.200057487789</v>
      </c>
      <c r="C47" s="49">
        <f t="shared" ref="C47:X47" si="81">C45/C46+2000</f>
        <v>55176.200057487789</v>
      </c>
      <c r="D47" s="119">
        <f t="shared" si="81"/>
        <v>2000</v>
      </c>
      <c r="E47" s="120">
        <f>E45/E46+2000</f>
        <v>213524.87334064973</v>
      </c>
      <c r="F47" s="119">
        <f t="shared" ref="F47:S47" si="82">F45/F46+2000</f>
        <v>242690.34983538042</v>
      </c>
      <c r="G47" s="119">
        <f t="shared" si="82"/>
        <v>271855.82633011107</v>
      </c>
      <c r="H47" s="119">
        <f t="shared" ref="H47:R47" si="83">H45/H46+2000</f>
        <v>355242.04805796797</v>
      </c>
      <c r="I47" s="119">
        <f t="shared" si="83"/>
        <v>389696.02358498948</v>
      </c>
      <c r="J47" s="119">
        <f t="shared" si="83"/>
        <v>424149.99911201099</v>
      </c>
      <c r="K47" s="119">
        <f t="shared" si="83"/>
        <v>458603.9746390325</v>
      </c>
      <c r="L47" s="119">
        <f t="shared" si="83"/>
        <v>493057.95016605401</v>
      </c>
      <c r="M47" s="119">
        <f t="shared" si="83"/>
        <v>528577.51256504527</v>
      </c>
      <c r="N47" s="119">
        <f t="shared" si="83"/>
        <v>564097.07496403647</v>
      </c>
      <c r="O47" s="119">
        <f t="shared" si="83"/>
        <v>599616.63736302778</v>
      </c>
      <c r="P47" s="119">
        <f t="shared" si="83"/>
        <v>635136.19976201898</v>
      </c>
      <c r="Q47" s="119">
        <f t="shared" si="83"/>
        <v>767866.55817737989</v>
      </c>
      <c r="R47" s="119">
        <f t="shared" si="83"/>
        <v>808550.04068348242</v>
      </c>
      <c r="S47" s="119">
        <f t="shared" si="82"/>
        <v>849233.52318958496</v>
      </c>
      <c r="T47" s="119"/>
      <c r="U47" s="119">
        <f t="shared" si="81"/>
        <v>2000</v>
      </c>
      <c r="V47" s="119">
        <f t="shared" si="81"/>
        <v>2000</v>
      </c>
      <c r="W47" s="249">
        <f t="shared" si="81"/>
        <v>2000</v>
      </c>
      <c r="X47" s="224">
        <f t="shared" si="81"/>
        <v>5429786.818551668</v>
      </c>
      <c r="Y47" s="52"/>
      <c r="Z47" s="52"/>
      <c r="AA47" s="52"/>
      <c r="AC47" s="28" t="s">
        <v>38</v>
      </c>
      <c r="AD47" s="69"/>
      <c r="AE47" s="28" t="s">
        <v>38</v>
      </c>
      <c r="AF47" s="69"/>
      <c r="AH47" s="6"/>
      <c r="AI47" s="6"/>
      <c r="AJ47" s="6"/>
    </row>
    <row r="48" spans="1:36" ht="15" customHeight="1">
      <c r="A48" s="254" t="s">
        <v>118</v>
      </c>
      <c r="B48" s="193">
        <f t="shared" ref="B48:U48" si="84">ROUNDDOWN(B36-B43*6/10,-2)</f>
        <v>221700</v>
      </c>
      <c r="C48" s="193">
        <f t="shared" si="84"/>
        <v>221700</v>
      </c>
      <c r="D48" s="193">
        <f t="shared" si="84"/>
        <v>0</v>
      </c>
      <c r="E48" s="193">
        <f t="shared" si="84"/>
        <v>422100</v>
      </c>
      <c r="F48" s="193">
        <f t="shared" ref="F48:S48" si="85">ROUNDDOWN(F36-F43*6/10,-2)</f>
        <v>480300</v>
      </c>
      <c r="G48" s="193">
        <f t="shared" si="85"/>
        <v>538500</v>
      </c>
      <c r="H48" s="193">
        <f t="shared" ref="H48:R48" si="86">ROUNDDOWN(H36-H43*6/10,-2)</f>
        <v>596700</v>
      </c>
      <c r="I48" s="193">
        <f t="shared" si="86"/>
        <v>654900</v>
      </c>
      <c r="J48" s="193">
        <f t="shared" si="86"/>
        <v>713100</v>
      </c>
      <c r="K48" s="193">
        <f t="shared" si="86"/>
        <v>771300</v>
      </c>
      <c r="L48" s="193">
        <f t="shared" si="86"/>
        <v>829500</v>
      </c>
      <c r="M48" s="193">
        <f t="shared" si="86"/>
        <v>889500</v>
      </c>
      <c r="N48" s="193">
        <f t="shared" si="86"/>
        <v>949500</v>
      </c>
      <c r="O48" s="193">
        <f t="shared" si="86"/>
        <v>1009500</v>
      </c>
      <c r="P48" s="193">
        <f t="shared" si="86"/>
        <v>1069500</v>
      </c>
      <c r="Q48" s="193">
        <f t="shared" si="86"/>
        <v>1129500</v>
      </c>
      <c r="R48" s="193">
        <f t="shared" si="86"/>
        <v>1189500</v>
      </c>
      <c r="S48" s="193">
        <f t="shared" si="85"/>
        <v>1249500</v>
      </c>
      <c r="T48" s="193"/>
      <c r="U48" s="193">
        <f t="shared" si="84"/>
        <v>0</v>
      </c>
      <c r="V48" s="193">
        <f>ROUNDDOWN(V36-V43*6/10,-2)</f>
        <v>0</v>
      </c>
      <c r="W48" s="269">
        <f t="shared" ref="W48:X48" si="87">ROUNDDOWN(W36-W43*6/10,-2)</f>
        <v>0</v>
      </c>
      <c r="X48" s="286">
        <f t="shared" si="87"/>
        <v>16009600</v>
      </c>
      <c r="Y48" s="52"/>
      <c r="Z48" s="52"/>
      <c r="AA48" s="52"/>
      <c r="AC48" s="28">
        <v>-2000000</v>
      </c>
      <c r="AD48" s="69">
        <v>0</v>
      </c>
      <c r="AE48" s="28">
        <v>-2000000</v>
      </c>
      <c r="AF48" s="276">
        <v>0</v>
      </c>
      <c r="AH48" s="6"/>
      <c r="AI48" s="6"/>
      <c r="AJ48" s="6"/>
    </row>
    <row r="49" spans="1:36" ht="15" customHeight="1" thickBot="1">
      <c r="A49" s="255" t="s">
        <v>119</v>
      </c>
      <c r="B49" s="194">
        <f t="shared" ref="B49:U49" si="88">ROUNDDOWN(B37-B43*4/10,-2)</f>
        <v>147800</v>
      </c>
      <c r="C49" s="194">
        <f t="shared" si="88"/>
        <v>147800</v>
      </c>
      <c r="D49" s="194">
        <f t="shared" si="88"/>
        <v>0</v>
      </c>
      <c r="E49" s="194">
        <f t="shared" si="88"/>
        <v>281400</v>
      </c>
      <c r="F49" s="194">
        <f t="shared" ref="F49:S49" si="89">ROUNDDOWN(F37-F43*4/10,-2)</f>
        <v>320200</v>
      </c>
      <c r="G49" s="194">
        <f t="shared" si="89"/>
        <v>359000</v>
      </c>
      <c r="H49" s="194">
        <f t="shared" ref="H49:R49" si="90">ROUNDDOWN(H37-H43*4/10,-2)</f>
        <v>397800</v>
      </c>
      <c r="I49" s="194">
        <f t="shared" si="90"/>
        <v>436600</v>
      </c>
      <c r="J49" s="194">
        <f t="shared" si="90"/>
        <v>475400</v>
      </c>
      <c r="K49" s="194">
        <f t="shared" si="90"/>
        <v>514200</v>
      </c>
      <c r="L49" s="194">
        <f t="shared" si="90"/>
        <v>553000</v>
      </c>
      <c r="M49" s="194">
        <f t="shared" si="90"/>
        <v>593000</v>
      </c>
      <c r="N49" s="194">
        <f t="shared" si="90"/>
        <v>633000</v>
      </c>
      <c r="O49" s="194">
        <f t="shared" si="90"/>
        <v>673000</v>
      </c>
      <c r="P49" s="194">
        <f t="shared" si="90"/>
        <v>713000</v>
      </c>
      <c r="Q49" s="194">
        <f t="shared" si="90"/>
        <v>753000</v>
      </c>
      <c r="R49" s="194">
        <f t="shared" si="90"/>
        <v>793000</v>
      </c>
      <c r="S49" s="194">
        <f t="shared" si="89"/>
        <v>833000</v>
      </c>
      <c r="T49" s="194"/>
      <c r="U49" s="194">
        <f t="shared" si="88"/>
        <v>0</v>
      </c>
      <c r="V49" s="194">
        <f>ROUNDDOWN(V37-V43*4/10,-2)</f>
        <v>0</v>
      </c>
      <c r="W49" s="270">
        <f t="shared" ref="W49:X49" si="91">ROUNDDOWN(W37-W43*4/10,-2)</f>
        <v>0</v>
      </c>
      <c r="X49" s="287">
        <f t="shared" si="91"/>
        <v>10673000</v>
      </c>
      <c r="Y49" s="52"/>
      <c r="Z49" s="52"/>
      <c r="AA49" s="52"/>
      <c r="AC49" s="28">
        <v>1</v>
      </c>
      <c r="AD49" s="69">
        <v>0</v>
      </c>
      <c r="AE49" s="28">
        <v>1</v>
      </c>
      <c r="AF49" s="276">
        <v>0</v>
      </c>
      <c r="AH49" s="6"/>
      <c r="AI49" s="6"/>
      <c r="AJ49" s="6"/>
    </row>
    <row r="50" spans="1:36" ht="15" customHeight="1">
      <c r="A50" s="256" t="s">
        <v>75</v>
      </c>
      <c r="B50" s="124">
        <v>3000</v>
      </c>
      <c r="C50" s="124">
        <v>3000</v>
      </c>
      <c r="D50" s="125">
        <v>3000</v>
      </c>
      <c r="E50" s="126">
        <v>3500</v>
      </c>
      <c r="F50" s="125">
        <v>3500</v>
      </c>
      <c r="G50" s="125">
        <v>3500</v>
      </c>
      <c r="H50" s="125">
        <v>3500</v>
      </c>
      <c r="I50" s="125">
        <v>3500</v>
      </c>
      <c r="J50" s="125">
        <v>3500</v>
      </c>
      <c r="K50" s="125">
        <v>3500</v>
      </c>
      <c r="L50" s="125">
        <v>3500</v>
      </c>
      <c r="M50" s="125">
        <v>3500</v>
      </c>
      <c r="N50" s="125">
        <v>3500</v>
      </c>
      <c r="O50" s="125">
        <v>3500</v>
      </c>
      <c r="P50" s="125">
        <v>3500</v>
      </c>
      <c r="Q50" s="125">
        <v>3500</v>
      </c>
      <c r="R50" s="125">
        <v>3500</v>
      </c>
      <c r="S50" s="125">
        <v>3500</v>
      </c>
      <c r="T50" s="125"/>
      <c r="U50" s="125">
        <v>3500</v>
      </c>
      <c r="V50" s="125">
        <v>3500</v>
      </c>
      <c r="W50" s="127">
        <v>3500</v>
      </c>
      <c r="X50" s="226">
        <v>3000</v>
      </c>
      <c r="Y50" s="52"/>
      <c r="Z50" s="52"/>
      <c r="AA50" s="52"/>
      <c r="AC50" s="28"/>
      <c r="AD50" s="69"/>
      <c r="AE50" s="28">
        <v>1950001</v>
      </c>
      <c r="AF50" s="276">
        <v>99547.5</v>
      </c>
      <c r="AH50" s="6"/>
      <c r="AI50" s="6"/>
      <c r="AJ50" s="6"/>
    </row>
    <row r="51" spans="1:36" ht="15" customHeight="1" thickBot="1">
      <c r="A51" s="257" t="s">
        <v>76</v>
      </c>
      <c r="B51" s="49">
        <v>1000</v>
      </c>
      <c r="C51" s="49">
        <v>1000</v>
      </c>
      <c r="D51" s="128">
        <v>1000</v>
      </c>
      <c r="E51" s="129">
        <v>1500</v>
      </c>
      <c r="F51" s="128">
        <v>1500</v>
      </c>
      <c r="G51" s="128">
        <v>1500</v>
      </c>
      <c r="H51" s="128">
        <v>1500</v>
      </c>
      <c r="I51" s="128">
        <v>1500</v>
      </c>
      <c r="J51" s="128">
        <v>1500</v>
      </c>
      <c r="K51" s="128">
        <v>1500</v>
      </c>
      <c r="L51" s="128">
        <v>1500</v>
      </c>
      <c r="M51" s="128">
        <v>1500</v>
      </c>
      <c r="N51" s="128">
        <v>1500</v>
      </c>
      <c r="O51" s="128">
        <v>1500</v>
      </c>
      <c r="P51" s="128">
        <v>1500</v>
      </c>
      <c r="Q51" s="128">
        <v>1500</v>
      </c>
      <c r="R51" s="128">
        <v>1500</v>
      </c>
      <c r="S51" s="128">
        <v>1500</v>
      </c>
      <c r="T51" s="128"/>
      <c r="U51" s="128">
        <v>1500</v>
      </c>
      <c r="V51" s="128">
        <v>1500</v>
      </c>
      <c r="W51" s="130">
        <v>1500</v>
      </c>
      <c r="X51" s="227">
        <v>1000</v>
      </c>
      <c r="Y51" s="52"/>
      <c r="Z51" s="52"/>
      <c r="AA51" s="52"/>
      <c r="AC51" s="28"/>
      <c r="AD51" s="69"/>
      <c r="AE51" s="28">
        <v>3300001</v>
      </c>
      <c r="AF51" s="276">
        <v>436477.5</v>
      </c>
      <c r="AH51" s="6"/>
      <c r="AI51" s="6"/>
      <c r="AJ51" s="6"/>
    </row>
    <row r="52" spans="1:36" ht="15" customHeight="1">
      <c r="A52" s="258" t="s">
        <v>73</v>
      </c>
      <c r="B52" s="195">
        <f>B48+B50</f>
        <v>224700</v>
      </c>
      <c r="C52" s="195">
        <f t="shared" ref="C52:X52" si="92">C48+C50</f>
        <v>224700</v>
      </c>
      <c r="D52" s="195">
        <f t="shared" si="92"/>
        <v>3000</v>
      </c>
      <c r="E52" s="195">
        <f t="shared" si="92"/>
        <v>425600</v>
      </c>
      <c r="F52" s="195">
        <f t="shared" ref="F52:S52" si="93">F48+F50</f>
        <v>483800</v>
      </c>
      <c r="G52" s="195">
        <f t="shared" si="93"/>
        <v>542000</v>
      </c>
      <c r="H52" s="195">
        <f t="shared" ref="H52:R52" si="94">H48+H50</f>
        <v>600200</v>
      </c>
      <c r="I52" s="195">
        <f t="shared" si="94"/>
        <v>658400</v>
      </c>
      <c r="J52" s="195">
        <f t="shared" si="94"/>
        <v>716600</v>
      </c>
      <c r="K52" s="195">
        <f t="shared" si="94"/>
        <v>774800</v>
      </c>
      <c r="L52" s="195">
        <f t="shared" si="94"/>
        <v>833000</v>
      </c>
      <c r="M52" s="195">
        <f t="shared" si="94"/>
        <v>893000</v>
      </c>
      <c r="N52" s="195">
        <f t="shared" si="94"/>
        <v>953000</v>
      </c>
      <c r="O52" s="195">
        <f t="shared" si="94"/>
        <v>1013000</v>
      </c>
      <c r="P52" s="195">
        <f t="shared" si="94"/>
        <v>1073000</v>
      </c>
      <c r="Q52" s="195">
        <f t="shared" si="94"/>
        <v>1133000</v>
      </c>
      <c r="R52" s="195">
        <f t="shared" si="94"/>
        <v>1193000</v>
      </c>
      <c r="S52" s="195">
        <f t="shared" si="93"/>
        <v>1253000</v>
      </c>
      <c r="T52" s="195"/>
      <c r="U52" s="195">
        <f t="shared" si="92"/>
        <v>3500</v>
      </c>
      <c r="V52" s="195">
        <f t="shared" si="92"/>
        <v>3500</v>
      </c>
      <c r="W52" s="271">
        <f t="shared" si="92"/>
        <v>3500</v>
      </c>
      <c r="X52" s="284">
        <f t="shared" si="92"/>
        <v>16012600</v>
      </c>
      <c r="Y52" s="52"/>
      <c r="Z52" s="52"/>
      <c r="AA52" s="52"/>
      <c r="AC52" s="28"/>
      <c r="AD52" s="69"/>
      <c r="AE52" s="28">
        <v>6950001</v>
      </c>
      <c r="AF52" s="276">
        <v>649356</v>
      </c>
      <c r="AH52" s="6"/>
      <c r="AI52" s="6"/>
      <c r="AJ52" s="6"/>
    </row>
    <row r="53" spans="1:36" ht="15" customHeight="1">
      <c r="A53" s="259" t="s">
        <v>74</v>
      </c>
      <c r="B53" s="52">
        <f>B49+B51</f>
        <v>148800</v>
      </c>
      <c r="C53" s="52">
        <f t="shared" ref="C53:X53" si="95">C49+C51</f>
        <v>148800</v>
      </c>
      <c r="D53" s="52">
        <f t="shared" si="95"/>
        <v>1000</v>
      </c>
      <c r="E53" s="52">
        <f t="shared" si="95"/>
        <v>282900</v>
      </c>
      <c r="F53" s="52">
        <f t="shared" ref="F53:S53" si="96">F49+F51</f>
        <v>321700</v>
      </c>
      <c r="G53" s="52">
        <f t="shared" si="96"/>
        <v>360500</v>
      </c>
      <c r="H53" s="52">
        <f t="shared" ref="H53:R53" si="97">H49+H51</f>
        <v>399300</v>
      </c>
      <c r="I53" s="52">
        <f t="shared" si="97"/>
        <v>438100</v>
      </c>
      <c r="J53" s="52">
        <f t="shared" si="97"/>
        <v>476900</v>
      </c>
      <c r="K53" s="52">
        <f t="shared" si="97"/>
        <v>515700</v>
      </c>
      <c r="L53" s="52">
        <f t="shared" si="97"/>
        <v>554500</v>
      </c>
      <c r="M53" s="52">
        <f t="shared" si="97"/>
        <v>594500</v>
      </c>
      <c r="N53" s="52">
        <f t="shared" si="97"/>
        <v>634500</v>
      </c>
      <c r="O53" s="52">
        <f t="shared" si="97"/>
        <v>674500</v>
      </c>
      <c r="P53" s="52">
        <f t="shared" si="97"/>
        <v>714500</v>
      </c>
      <c r="Q53" s="52">
        <f t="shared" si="97"/>
        <v>754500</v>
      </c>
      <c r="R53" s="52">
        <f t="shared" si="97"/>
        <v>794500</v>
      </c>
      <c r="S53" s="52">
        <f t="shared" si="96"/>
        <v>834500</v>
      </c>
      <c r="T53" s="52"/>
      <c r="U53" s="52">
        <f t="shared" si="95"/>
        <v>1500</v>
      </c>
      <c r="V53" s="52">
        <f t="shared" si="95"/>
        <v>1500</v>
      </c>
      <c r="W53" s="54">
        <f t="shared" si="95"/>
        <v>1500</v>
      </c>
      <c r="X53" s="285">
        <f t="shared" si="95"/>
        <v>10674000</v>
      </c>
      <c r="Y53" s="52"/>
      <c r="Z53" s="52"/>
      <c r="AA53" s="52"/>
      <c r="AC53" s="28"/>
      <c r="AD53" s="69"/>
      <c r="AE53" s="28">
        <v>9000001</v>
      </c>
      <c r="AF53" s="276">
        <v>1568256</v>
      </c>
    </row>
    <row r="54" spans="1:36" ht="15" customHeight="1" thickBot="1">
      <c r="A54" s="260" t="s">
        <v>77</v>
      </c>
      <c r="B54" s="196">
        <f>SUM(B52:B53)</f>
        <v>373500</v>
      </c>
      <c r="C54" s="196">
        <f t="shared" ref="C54:X54" si="98">SUM(C52:C53)</f>
        <v>373500</v>
      </c>
      <c r="D54" s="196">
        <f t="shared" si="98"/>
        <v>4000</v>
      </c>
      <c r="E54" s="197">
        <f>SUM(E52:E53)</f>
        <v>708500</v>
      </c>
      <c r="F54" s="196">
        <f t="shared" ref="F54:S54" si="99">SUM(F52:F53)</f>
        <v>805500</v>
      </c>
      <c r="G54" s="196">
        <f t="shared" si="99"/>
        <v>902500</v>
      </c>
      <c r="H54" s="196">
        <f t="shared" ref="H54:R54" si="100">SUM(H52:H53)</f>
        <v>999500</v>
      </c>
      <c r="I54" s="196">
        <f t="shared" si="100"/>
        <v>1096500</v>
      </c>
      <c r="J54" s="196">
        <f t="shared" si="100"/>
        <v>1193500</v>
      </c>
      <c r="K54" s="196">
        <f t="shared" si="100"/>
        <v>1290500</v>
      </c>
      <c r="L54" s="196">
        <f t="shared" si="100"/>
        <v>1387500</v>
      </c>
      <c r="M54" s="196">
        <f t="shared" si="100"/>
        <v>1487500</v>
      </c>
      <c r="N54" s="196">
        <f t="shared" si="100"/>
        <v>1587500</v>
      </c>
      <c r="O54" s="196">
        <f t="shared" si="100"/>
        <v>1687500</v>
      </c>
      <c r="P54" s="196">
        <f t="shared" si="100"/>
        <v>1787500</v>
      </c>
      <c r="Q54" s="196">
        <f t="shared" si="100"/>
        <v>1887500</v>
      </c>
      <c r="R54" s="196">
        <f t="shared" si="100"/>
        <v>1987500</v>
      </c>
      <c r="S54" s="196">
        <f t="shared" si="99"/>
        <v>2087500</v>
      </c>
      <c r="T54" s="196"/>
      <c r="U54" s="196">
        <f t="shared" si="98"/>
        <v>5000</v>
      </c>
      <c r="V54" s="196">
        <f t="shared" si="98"/>
        <v>5000</v>
      </c>
      <c r="W54" s="198">
        <f t="shared" si="98"/>
        <v>5000</v>
      </c>
      <c r="X54" s="228">
        <f t="shared" si="98"/>
        <v>26686600</v>
      </c>
      <c r="Y54" s="52"/>
      <c r="Z54" s="52"/>
      <c r="AA54" s="85"/>
      <c r="AC54" s="28"/>
      <c r="AD54" s="69"/>
      <c r="AE54" s="28">
        <v>18000001</v>
      </c>
      <c r="AF54" s="276">
        <v>2854716</v>
      </c>
    </row>
    <row r="55" spans="1:36" ht="15" customHeight="1" thickBot="1">
      <c r="A55" s="261" t="s">
        <v>98</v>
      </c>
      <c r="B55" s="50"/>
      <c r="C55" s="50"/>
      <c r="D55" s="132"/>
      <c r="E55" s="167">
        <f t="shared" ref="E55:V55" si="101">E43/E38</f>
        <v>0</v>
      </c>
      <c r="F55" s="241">
        <f t="shared" ref="F55:G55" si="102">F43/F38</f>
        <v>0</v>
      </c>
      <c r="G55" s="241">
        <f t="shared" si="102"/>
        <v>0</v>
      </c>
      <c r="H55" s="241">
        <f t="shared" ref="H55:R55" si="103">H43/H38</f>
        <v>0</v>
      </c>
      <c r="I55" s="241">
        <f t="shared" si="103"/>
        <v>0</v>
      </c>
      <c r="J55" s="241">
        <f t="shared" si="103"/>
        <v>0</v>
      </c>
      <c r="K55" s="241">
        <f t="shared" si="103"/>
        <v>0</v>
      </c>
      <c r="L55" s="241">
        <f t="shared" si="103"/>
        <v>0</v>
      </c>
      <c r="M55" s="241">
        <f t="shared" si="103"/>
        <v>0</v>
      </c>
      <c r="N55" s="241">
        <f t="shared" si="103"/>
        <v>0</v>
      </c>
      <c r="O55" s="241">
        <f t="shared" si="103"/>
        <v>0</v>
      </c>
      <c r="P55" s="241">
        <f t="shared" si="103"/>
        <v>0</v>
      </c>
      <c r="Q55" s="241">
        <f t="shared" si="103"/>
        <v>0</v>
      </c>
      <c r="R55" s="241">
        <f t="shared" si="103"/>
        <v>0</v>
      </c>
      <c r="S55" s="241">
        <f>S43/S38</f>
        <v>0</v>
      </c>
      <c r="T55" s="241"/>
      <c r="U55" s="241" t="e">
        <f t="shared" si="101"/>
        <v>#DIV/0!</v>
      </c>
      <c r="V55" s="241" t="e">
        <f t="shared" si="101"/>
        <v>#DIV/0!</v>
      </c>
      <c r="W55" s="240" t="e">
        <f>W43/W38</f>
        <v>#DIV/0!</v>
      </c>
      <c r="X55" s="291"/>
      <c r="Y55" s="85"/>
      <c r="Z55" s="52"/>
      <c r="AA55" s="85"/>
      <c r="AC55" s="28"/>
      <c r="AD55" s="69"/>
      <c r="AE55" s="207">
        <v>40000001</v>
      </c>
      <c r="AF55" s="277">
        <v>4896716</v>
      </c>
    </row>
    <row r="56" spans="1:36" ht="15" customHeight="1" thickBot="1">
      <c r="A56" s="70" t="s">
        <v>67</v>
      </c>
      <c r="B56" s="134"/>
      <c r="C56" s="134"/>
      <c r="E56" s="51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250"/>
      <c r="X56" s="213"/>
      <c r="Y56" s="52"/>
      <c r="Z56" s="52"/>
      <c r="AA56" s="52"/>
      <c r="AC56" s="305" t="s">
        <v>31</v>
      </c>
      <c r="AD56" s="306"/>
      <c r="AE56" s="305" t="s">
        <v>32</v>
      </c>
      <c r="AF56" s="306"/>
    </row>
    <row r="57" spans="1:36" ht="15" customHeight="1">
      <c r="A57" s="262" t="s">
        <v>0</v>
      </c>
      <c r="B57" s="124">
        <f t="shared" ref="B57:X57" si="104">B9</f>
        <v>7000000</v>
      </c>
      <c r="C57" s="131">
        <f t="shared" si="104"/>
        <v>7000000</v>
      </c>
      <c r="D57" s="135">
        <f t="shared" si="104"/>
        <v>0</v>
      </c>
      <c r="E57" s="136">
        <f t="shared" si="104"/>
        <v>11000000</v>
      </c>
      <c r="F57" s="135">
        <f t="shared" ref="F57:S57" si="105">F9</f>
        <v>12000000</v>
      </c>
      <c r="G57" s="135">
        <f t="shared" si="105"/>
        <v>13000000</v>
      </c>
      <c r="H57" s="135">
        <f t="shared" ref="H57:R57" si="106">H9</f>
        <v>14000000</v>
      </c>
      <c r="I57" s="135">
        <f t="shared" si="106"/>
        <v>15000000</v>
      </c>
      <c r="J57" s="135">
        <f t="shared" si="106"/>
        <v>16000000</v>
      </c>
      <c r="K57" s="135">
        <f t="shared" si="106"/>
        <v>17000000</v>
      </c>
      <c r="L57" s="135">
        <f t="shared" si="106"/>
        <v>18000000</v>
      </c>
      <c r="M57" s="135">
        <f t="shared" si="106"/>
        <v>19000000</v>
      </c>
      <c r="N57" s="135">
        <f t="shared" si="106"/>
        <v>20000000</v>
      </c>
      <c r="O57" s="135">
        <f t="shared" si="106"/>
        <v>21000000</v>
      </c>
      <c r="P57" s="135">
        <f t="shared" si="106"/>
        <v>22000000</v>
      </c>
      <c r="Q57" s="135">
        <f t="shared" si="106"/>
        <v>23000000</v>
      </c>
      <c r="R57" s="135">
        <f t="shared" si="106"/>
        <v>24000000</v>
      </c>
      <c r="S57" s="135">
        <f t="shared" si="105"/>
        <v>25000000</v>
      </c>
      <c r="T57" s="135"/>
      <c r="U57" s="135">
        <f t="shared" si="104"/>
        <v>0</v>
      </c>
      <c r="V57" s="135">
        <f t="shared" si="104"/>
        <v>0</v>
      </c>
      <c r="W57" s="137">
        <f t="shared" si="104"/>
        <v>0</v>
      </c>
      <c r="X57" s="292">
        <f t="shared" si="104"/>
        <v>300000000</v>
      </c>
      <c r="Y57" s="52"/>
      <c r="Z57" s="85"/>
      <c r="AA57" s="52"/>
      <c r="AC57" s="138" t="s">
        <v>59</v>
      </c>
      <c r="AD57" s="139">
        <v>330000</v>
      </c>
      <c r="AE57" s="140" t="s">
        <v>59</v>
      </c>
      <c r="AF57" s="139">
        <v>380000</v>
      </c>
    </row>
    <row r="58" spans="1:36" ht="15" customHeight="1">
      <c r="A58" s="263" t="s">
        <v>12</v>
      </c>
      <c r="B58" s="49">
        <f>B57*VLOOKUP(B57,$AE$6:$AF$11,2)+VLOOKUP(B57,$AE$14:$AF$19,2)</f>
        <v>1900000</v>
      </c>
      <c r="C58" s="50">
        <f>C57*VLOOKUP(C57,$AE$6:$AF$11,2)+VLOOKUP(C57,$AE$14:$AF$19,2)</f>
        <v>1900000</v>
      </c>
      <c r="D58" s="6">
        <f>D57*VLOOKUP(D57,$AE$6:$AF$11,2)+VLOOKUP(D57,$AE$14:$AF$19,2)</f>
        <v>650000</v>
      </c>
      <c r="E58" s="51">
        <f t="shared" ref="E58:S58" si="107">E57*VLOOKUP(E57,$AE$6:$AF$12,2)+VLOOKUP(E57,$AE$14:$AF$20,2)</f>
        <v>2200000</v>
      </c>
      <c r="F58" s="6">
        <f t="shared" si="107"/>
        <v>2200000</v>
      </c>
      <c r="G58" s="6">
        <f t="shared" si="107"/>
        <v>2200000</v>
      </c>
      <c r="H58" s="6">
        <f t="shared" si="107"/>
        <v>2200000</v>
      </c>
      <c r="I58" s="6">
        <f t="shared" si="107"/>
        <v>2200000</v>
      </c>
      <c r="J58" s="6">
        <f t="shared" si="107"/>
        <v>2200000</v>
      </c>
      <c r="K58" s="6">
        <f t="shared" si="107"/>
        <v>2200000</v>
      </c>
      <c r="L58" s="6">
        <f t="shared" si="107"/>
        <v>2200000</v>
      </c>
      <c r="M58" s="6">
        <f t="shared" si="107"/>
        <v>2200000</v>
      </c>
      <c r="N58" s="6">
        <f t="shared" si="107"/>
        <v>2200000</v>
      </c>
      <c r="O58" s="6">
        <f t="shared" si="107"/>
        <v>2200000</v>
      </c>
      <c r="P58" s="6">
        <f t="shared" si="107"/>
        <v>2200000</v>
      </c>
      <c r="Q58" s="6">
        <f t="shared" si="107"/>
        <v>2200000</v>
      </c>
      <c r="R58" s="6">
        <f t="shared" si="107"/>
        <v>2200000</v>
      </c>
      <c r="S58" s="6">
        <f t="shared" si="107"/>
        <v>2200000</v>
      </c>
      <c r="T58" s="6"/>
      <c r="U58" s="6">
        <f>U57*VLOOKUP(U57,$AE$6:$AF$12,2)+VLOOKUP(U57,$AE$14:$AF$20,2)</f>
        <v>650000</v>
      </c>
      <c r="V58" s="6">
        <f>V57*VLOOKUP(V57,$AE$6:$AF$12,2)+VLOOKUP(V57,$AE$14:$AF$20,2)</f>
        <v>650000</v>
      </c>
      <c r="W58" s="70">
        <f>W57*VLOOKUP(W57,$AE$6:$AF$12,2)+VLOOKUP(W57,$AE$14:$AF$20,2)</f>
        <v>650000</v>
      </c>
      <c r="X58" s="214">
        <f>X57*VLOOKUP(X57,$AE$6:$AF$12,2)+VLOOKUP(X57,$AE$14:$AF$20,2)</f>
        <v>2200000</v>
      </c>
      <c r="Y58" s="52"/>
      <c r="Z58" s="52"/>
      <c r="AA58" s="52"/>
      <c r="AC58" s="138" t="s">
        <v>61</v>
      </c>
      <c r="AD58" s="139">
        <v>330000</v>
      </c>
      <c r="AE58" s="140" t="s">
        <v>61</v>
      </c>
      <c r="AF58" s="139">
        <v>380000</v>
      </c>
    </row>
    <row r="59" spans="1:36" ht="15" customHeight="1">
      <c r="A59" s="263" t="s">
        <v>122</v>
      </c>
      <c r="B59" s="49">
        <f t="shared" ref="B59" si="108">B57-B58</f>
        <v>5100000</v>
      </c>
      <c r="C59" s="50">
        <f>C57-C58</f>
        <v>5100000</v>
      </c>
      <c r="D59" s="6">
        <f>D57-D58</f>
        <v>-650000</v>
      </c>
      <c r="E59" s="51">
        <f t="shared" ref="E59:X59" si="109">E57-E58</f>
        <v>8800000</v>
      </c>
      <c r="F59" s="6">
        <f t="shared" ref="F59:S59" si="110">F57-F58</f>
        <v>9800000</v>
      </c>
      <c r="G59" s="6">
        <f t="shared" si="110"/>
        <v>10800000</v>
      </c>
      <c r="H59" s="6">
        <f t="shared" ref="H59:R59" si="111">H57-H58</f>
        <v>11800000</v>
      </c>
      <c r="I59" s="6">
        <f t="shared" si="111"/>
        <v>12800000</v>
      </c>
      <c r="J59" s="6">
        <f t="shared" si="111"/>
        <v>13800000</v>
      </c>
      <c r="K59" s="6">
        <f t="shared" si="111"/>
        <v>14800000</v>
      </c>
      <c r="L59" s="6">
        <f t="shared" si="111"/>
        <v>15800000</v>
      </c>
      <c r="M59" s="6">
        <f t="shared" si="111"/>
        <v>16800000</v>
      </c>
      <c r="N59" s="6">
        <f t="shared" si="111"/>
        <v>17800000</v>
      </c>
      <c r="O59" s="6">
        <f t="shared" si="111"/>
        <v>18800000</v>
      </c>
      <c r="P59" s="6">
        <f t="shared" si="111"/>
        <v>19800000</v>
      </c>
      <c r="Q59" s="6">
        <f t="shared" si="111"/>
        <v>20800000</v>
      </c>
      <c r="R59" s="6">
        <f t="shared" si="111"/>
        <v>21800000</v>
      </c>
      <c r="S59" s="6">
        <f t="shared" si="110"/>
        <v>22800000</v>
      </c>
      <c r="T59" s="6"/>
      <c r="U59" s="6">
        <f t="shared" si="109"/>
        <v>-650000</v>
      </c>
      <c r="V59" s="6">
        <f t="shared" si="109"/>
        <v>-650000</v>
      </c>
      <c r="W59" s="70">
        <f t="shared" si="109"/>
        <v>-650000</v>
      </c>
      <c r="X59" s="214">
        <f t="shared" si="109"/>
        <v>297800000</v>
      </c>
      <c r="Z59" s="52"/>
      <c r="AC59" s="138" t="s">
        <v>33</v>
      </c>
      <c r="AD59" s="139">
        <v>0</v>
      </c>
      <c r="AE59" s="140" t="s">
        <v>33</v>
      </c>
      <c r="AF59" s="139">
        <v>0</v>
      </c>
    </row>
    <row r="60" spans="1:36" ht="15" customHeight="1">
      <c r="A60" s="263"/>
      <c r="B60" s="49"/>
      <c r="C60" s="50"/>
      <c r="D60" s="6"/>
      <c r="E60" s="51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70"/>
      <c r="X60" s="214"/>
      <c r="Z60" s="52"/>
      <c r="AC60" s="138" t="s">
        <v>64</v>
      </c>
      <c r="AD60" s="139">
        <v>330000</v>
      </c>
      <c r="AE60" s="140" t="s">
        <v>64</v>
      </c>
      <c r="AF60" s="139">
        <v>380000</v>
      </c>
    </row>
    <row r="61" spans="1:36" ht="15" customHeight="1" thickBot="1">
      <c r="A61" s="263" t="s">
        <v>20</v>
      </c>
      <c r="B61" s="49">
        <f t="shared" ref="B61:S61" si="112">B57*VLOOKUP(B57,$AE$23:$AF$25,2)+VLOOKUP(B57,$AE$27:$AF$29,2)</f>
        <v>1050000</v>
      </c>
      <c r="C61" s="50">
        <f t="shared" si="112"/>
        <v>1050000</v>
      </c>
      <c r="D61" s="6">
        <f t="shared" si="112"/>
        <v>0</v>
      </c>
      <c r="E61" s="51">
        <f t="shared" si="112"/>
        <v>1410000</v>
      </c>
      <c r="F61" s="6">
        <f t="shared" si="112"/>
        <v>1440000</v>
      </c>
      <c r="G61" s="6">
        <f t="shared" si="112"/>
        <v>1470000</v>
      </c>
      <c r="H61" s="6">
        <f t="shared" si="112"/>
        <v>1500000</v>
      </c>
      <c r="I61" s="6">
        <f t="shared" si="112"/>
        <v>1530000</v>
      </c>
      <c r="J61" s="6">
        <f t="shared" si="112"/>
        <v>1560000</v>
      </c>
      <c r="K61" s="6">
        <f t="shared" si="112"/>
        <v>1590000</v>
      </c>
      <c r="L61" s="6">
        <f t="shared" si="112"/>
        <v>1620000</v>
      </c>
      <c r="M61" s="6">
        <f t="shared" si="112"/>
        <v>1620000</v>
      </c>
      <c r="N61" s="6">
        <f t="shared" si="112"/>
        <v>1620000</v>
      </c>
      <c r="O61" s="6">
        <f t="shared" si="112"/>
        <v>1620000</v>
      </c>
      <c r="P61" s="6">
        <f t="shared" si="112"/>
        <v>1620000</v>
      </c>
      <c r="Q61" s="6">
        <f t="shared" si="112"/>
        <v>1620000</v>
      </c>
      <c r="R61" s="6">
        <f t="shared" si="112"/>
        <v>1620000</v>
      </c>
      <c r="S61" s="6">
        <f t="shared" si="112"/>
        <v>1620000</v>
      </c>
      <c r="T61" s="6"/>
      <c r="U61" s="6">
        <f>U57*VLOOKUP(U57,$AE$23:$AF$25,2)+VLOOKUP(U57,$AE$27:$AF$29,2)</f>
        <v>0</v>
      </c>
      <c r="V61" s="6">
        <f>V57*VLOOKUP(V57,$AE$23:$AF$25,2)+VLOOKUP(V57,$AE$27:$AF$29,2)</f>
        <v>0</v>
      </c>
      <c r="W61" s="70">
        <f>W57*VLOOKUP(W57,$AE$23:$AF$25,2)+VLOOKUP(W57,$AE$27:$AF$29,2)</f>
        <v>0</v>
      </c>
      <c r="X61" s="214">
        <f>X57*VLOOKUP(X57,$AE$23:$AF$25,2)+VLOOKUP(X57,$AE$27:$AF$29,2)</f>
        <v>1620000</v>
      </c>
      <c r="AC61" s="141" t="s">
        <v>34</v>
      </c>
      <c r="AD61" s="142">
        <v>450000</v>
      </c>
      <c r="AE61" s="143" t="s">
        <v>35</v>
      </c>
      <c r="AF61" s="142">
        <v>630000</v>
      </c>
    </row>
    <row r="62" spans="1:36" ht="15" customHeight="1">
      <c r="A62" s="282" t="s">
        <v>21</v>
      </c>
      <c r="B62" s="281">
        <f t="shared" ref="B62:S62" si="113">IF($Y$2=1,IF($B$3&gt;=31,IF(AND($Y$2=1),IF($B$3&gt;=31,IF(B59&gt;9000000,IF(B59&gt;9500000,IF(B59&gt;10000000,0,ROUNDUP($AF$32*1/3,-4)),ROUNDUP($AF$32*2/3,-4)),$AF$32),$R$32),0),$AF$32),0)</f>
        <v>0</v>
      </c>
      <c r="C62" s="281">
        <f t="shared" si="113"/>
        <v>0</v>
      </c>
      <c r="D62" s="281">
        <f t="shared" si="113"/>
        <v>0</v>
      </c>
      <c r="E62" s="281">
        <f t="shared" si="113"/>
        <v>0</v>
      </c>
      <c r="F62" s="281">
        <f t="shared" si="113"/>
        <v>0</v>
      </c>
      <c r="G62" s="281">
        <f t="shared" si="113"/>
        <v>0</v>
      </c>
      <c r="H62" s="281">
        <f t="shared" si="113"/>
        <v>0</v>
      </c>
      <c r="I62" s="281">
        <f t="shared" si="113"/>
        <v>0</v>
      </c>
      <c r="J62" s="281">
        <f t="shared" si="113"/>
        <v>0</v>
      </c>
      <c r="K62" s="281">
        <f t="shared" si="113"/>
        <v>0</v>
      </c>
      <c r="L62" s="281">
        <f t="shared" si="113"/>
        <v>0</v>
      </c>
      <c r="M62" s="281">
        <f t="shared" si="113"/>
        <v>0</v>
      </c>
      <c r="N62" s="281">
        <f t="shared" si="113"/>
        <v>0</v>
      </c>
      <c r="O62" s="281">
        <f t="shared" si="113"/>
        <v>0</v>
      </c>
      <c r="P62" s="281">
        <f t="shared" si="113"/>
        <v>0</v>
      </c>
      <c r="Q62" s="281">
        <f t="shared" si="113"/>
        <v>0</v>
      </c>
      <c r="R62" s="281">
        <f t="shared" si="113"/>
        <v>0</v>
      </c>
      <c r="S62" s="281">
        <f t="shared" si="113"/>
        <v>0</v>
      </c>
      <c r="T62" s="6"/>
      <c r="U62" s="281">
        <f>IF($Y$2=1,IF($B$3&gt;=31,IF(AND($Y$2=1),IF($B$3&gt;=31,IF(U59&gt;9000000,IF(U59&gt;9500000,IF(U59&gt;10000000,0,ROUNDUP($AF$32*1/3,-4)),ROUNDUP($AF$32*2/3,-4)),$AF$32),$R$32),0),$AF$32),0)</f>
        <v>0</v>
      </c>
      <c r="V62" s="281">
        <f>IF($Y$2=1,IF($B$3&gt;=31,IF(AND($Y$2=1),IF($B$3&gt;=31,IF(V59&gt;9000000,IF(V59&gt;9500000,IF(V59&gt;10000000,0,ROUNDUP($AF$32*1/3,-4)),ROUNDUP($AF$32*2/3,-4)),$AF$32),$R$32),0),$AF$32),0)</f>
        <v>0</v>
      </c>
      <c r="W62" s="283">
        <f>IF($Y$2=1,IF($B$3&gt;=31,IF(AND($Y$2=1),IF($B$3&gt;=31,IF(W59&gt;9000000,IF(W59&gt;9500000,IF(W59&gt;10000000,0,ROUNDUP($AF$32*1/3,-4)),ROUNDUP($AF$32*2/3,-4)),$AF$32),$R$32),0),$AF$32),0)</f>
        <v>0</v>
      </c>
      <c r="X62" s="298">
        <f>IF($Y$2=1,IF($B$3&gt;=31,IF(AND($Y$2=1),IF($B$3&gt;=31,IF(X59&gt;9000000,IF(X59&gt;9500000,IF(X59&gt;10000000,0,ROUNDUP($AF$32*1/3,-4)),ROUNDUP($AF$32*2/3,-4)),$AF$32),$R$32),0),$AF$32),0)</f>
        <v>0</v>
      </c>
    </row>
    <row r="63" spans="1:36" ht="15" customHeight="1">
      <c r="A63" s="263" t="s">
        <v>22</v>
      </c>
      <c r="B63" s="49">
        <f t="shared" ref="B63:S63" si="114">IF(B59&lt;10000000,IF($Y$2=1,$AF$33,0),0)</f>
        <v>0</v>
      </c>
      <c r="C63" s="50">
        <f t="shared" si="114"/>
        <v>0</v>
      </c>
      <c r="D63" s="6">
        <f t="shared" si="114"/>
        <v>0</v>
      </c>
      <c r="E63" s="51">
        <f t="shared" si="114"/>
        <v>0</v>
      </c>
      <c r="F63" s="6">
        <f>IF(F59&lt;10000000,IF($Y$2=1,$AF$33,0),0)</f>
        <v>0</v>
      </c>
      <c r="G63" s="6">
        <f t="shared" si="114"/>
        <v>0</v>
      </c>
      <c r="H63" s="6">
        <f t="shared" si="114"/>
        <v>0</v>
      </c>
      <c r="I63" s="6">
        <f t="shared" si="114"/>
        <v>0</v>
      </c>
      <c r="J63" s="6">
        <f t="shared" si="114"/>
        <v>0</v>
      </c>
      <c r="K63" s="6">
        <f t="shared" si="114"/>
        <v>0</v>
      </c>
      <c r="L63" s="6">
        <f t="shared" si="114"/>
        <v>0</v>
      </c>
      <c r="M63" s="6">
        <f t="shared" si="114"/>
        <v>0</v>
      </c>
      <c r="N63" s="6">
        <f t="shared" si="114"/>
        <v>0</v>
      </c>
      <c r="O63" s="6">
        <f t="shared" si="114"/>
        <v>0</v>
      </c>
      <c r="P63" s="6">
        <f t="shared" si="114"/>
        <v>0</v>
      </c>
      <c r="Q63" s="6">
        <f t="shared" si="114"/>
        <v>0</v>
      </c>
      <c r="R63" s="6">
        <f t="shared" si="114"/>
        <v>0</v>
      </c>
      <c r="S63" s="6">
        <f t="shared" si="114"/>
        <v>0</v>
      </c>
      <c r="T63" s="6"/>
      <c r="U63" s="6">
        <f>IF(U59&lt;10000000,IF($Y$2=1,$AF$33,0),0)</f>
        <v>0</v>
      </c>
      <c r="V63" s="6">
        <f>IF(V59&lt;10000000,IF($Y$2=1,$AF$33,0),0)</f>
        <v>0</v>
      </c>
      <c r="W63" s="70">
        <f>IF(W59&lt;10000000,IF($Y$2=1,$AF$33,0),0)</f>
        <v>0</v>
      </c>
      <c r="X63" s="214">
        <f>IF(X59&lt;10000000,IF($Y$2=1,$AF$33,0),0)</f>
        <v>0</v>
      </c>
    </row>
    <row r="64" spans="1:36" ht="15" customHeight="1">
      <c r="A64" s="263" t="s">
        <v>24</v>
      </c>
      <c r="B64" s="49">
        <f t="shared" ref="B64:S64" si="115">IF($Y$5&gt;0,$Y$5*$AF$34,0)+IF($Y$6&gt;0,$Y$6*$AF$35)+IF($Y$7&gt;0,$Y$7*$AF$34,0)</f>
        <v>0</v>
      </c>
      <c r="C64" s="50">
        <f t="shared" si="115"/>
        <v>0</v>
      </c>
      <c r="D64" s="6">
        <f t="shared" si="115"/>
        <v>0</v>
      </c>
      <c r="E64" s="51">
        <f t="shared" si="115"/>
        <v>0</v>
      </c>
      <c r="F64" s="6">
        <f t="shared" si="115"/>
        <v>0</v>
      </c>
      <c r="G64" s="6">
        <f t="shared" si="115"/>
        <v>0</v>
      </c>
      <c r="H64" s="6">
        <f t="shared" si="115"/>
        <v>0</v>
      </c>
      <c r="I64" s="6">
        <f t="shared" si="115"/>
        <v>0</v>
      </c>
      <c r="J64" s="6">
        <f t="shared" si="115"/>
        <v>0</v>
      </c>
      <c r="K64" s="6">
        <f t="shared" si="115"/>
        <v>0</v>
      </c>
      <c r="L64" s="6">
        <f t="shared" si="115"/>
        <v>0</v>
      </c>
      <c r="M64" s="6">
        <f t="shared" si="115"/>
        <v>0</v>
      </c>
      <c r="N64" s="6">
        <f t="shared" si="115"/>
        <v>0</v>
      </c>
      <c r="O64" s="6">
        <f t="shared" si="115"/>
        <v>0</v>
      </c>
      <c r="P64" s="6">
        <f t="shared" si="115"/>
        <v>0</v>
      </c>
      <c r="Q64" s="6">
        <f t="shared" si="115"/>
        <v>0</v>
      </c>
      <c r="R64" s="6">
        <f t="shared" si="115"/>
        <v>0</v>
      </c>
      <c r="S64" s="6">
        <f t="shared" si="115"/>
        <v>0</v>
      </c>
      <c r="T64" s="6"/>
      <c r="U64" s="6">
        <f>IF($Y$5&gt;0,$Y$5*$AF$34,0)+IF($Y$6&gt;0,$Y$6*$AF$35)+IF($Y$7&gt;0,$Y$7*$AF$34,0)</f>
        <v>0</v>
      </c>
      <c r="V64" s="6">
        <f>IF($Y$5&gt;0,$Y$5*$AF$34,0)+IF($Y$6&gt;0,$Y$6*$AF$35)+IF($Y$7&gt;0,$Y$7*$AF$34,0)</f>
        <v>0</v>
      </c>
      <c r="W64" s="70">
        <f>IF($Y$5&gt;0,$Y$5*$AF$34,0)+IF($Y$6&gt;0,$Y$6*$AF$35)+IF($Y$7&gt;0,$Y$7*$AF$34,0)</f>
        <v>0</v>
      </c>
      <c r="X64" s="214">
        <f>IF($Y$5&gt;0,$Y$5*$AF$34,0)+IF($Y$6&gt;0,$Y$6*$AF$35)+IF($Y$7&gt;0,$Y$7*$AF$34,0)</f>
        <v>0</v>
      </c>
    </row>
    <row r="65" spans="1:32" ht="15" customHeight="1">
      <c r="A65" s="263" t="s">
        <v>25</v>
      </c>
      <c r="B65" s="49">
        <f t="shared" ref="B65:S65" si="116">$AF$31</f>
        <v>380000</v>
      </c>
      <c r="C65" s="50">
        <f t="shared" si="116"/>
        <v>380000</v>
      </c>
      <c r="D65" s="6">
        <f t="shared" si="116"/>
        <v>380000</v>
      </c>
      <c r="E65" s="51">
        <f t="shared" si="116"/>
        <v>380000</v>
      </c>
      <c r="F65" s="6">
        <f t="shared" si="116"/>
        <v>380000</v>
      </c>
      <c r="G65" s="6">
        <f t="shared" si="116"/>
        <v>380000</v>
      </c>
      <c r="H65" s="6">
        <f t="shared" si="116"/>
        <v>380000</v>
      </c>
      <c r="I65" s="6">
        <f t="shared" si="116"/>
        <v>380000</v>
      </c>
      <c r="J65" s="6">
        <f t="shared" si="116"/>
        <v>380000</v>
      </c>
      <c r="K65" s="6">
        <f t="shared" si="116"/>
        <v>380000</v>
      </c>
      <c r="L65" s="6">
        <f t="shared" si="116"/>
        <v>380000</v>
      </c>
      <c r="M65" s="6">
        <f t="shared" si="116"/>
        <v>380000</v>
      </c>
      <c r="N65" s="6">
        <f t="shared" si="116"/>
        <v>380000</v>
      </c>
      <c r="O65" s="6">
        <f t="shared" si="116"/>
        <v>380000</v>
      </c>
      <c r="P65" s="6">
        <f t="shared" si="116"/>
        <v>380000</v>
      </c>
      <c r="Q65" s="6">
        <f t="shared" si="116"/>
        <v>380000</v>
      </c>
      <c r="R65" s="6">
        <f t="shared" si="116"/>
        <v>380000</v>
      </c>
      <c r="S65" s="6">
        <f t="shared" si="116"/>
        <v>380000</v>
      </c>
      <c r="T65" s="6"/>
      <c r="U65" s="6">
        <f>$AF$31</f>
        <v>380000</v>
      </c>
      <c r="V65" s="6">
        <f>$AF$31</f>
        <v>380000</v>
      </c>
      <c r="W65" s="70">
        <f>$AF$31</f>
        <v>380000</v>
      </c>
      <c r="X65" s="214">
        <f>$AF$31</f>
        <v>380000</v>
      </c>
    </row>
    <row r="66" spans="1:32" ht="15" customHeight="1">
      <c r="A66" s="263" t="s">
        <v>26</v>
      </c>
      <c r="B66" s="49">
        <f>SUM(B60:B65)</f>
        <v>1430000</v>
      </c>
      <c r="C66" s="50">
        <f>SUM(C60:C65)+D91</f>
        <v>1430000</v>
      </c>
      <c r="D66" s="6">
        <f t="shared" ref="D66:X66" si="117">SUM(D60:D65)</f>
        <v>380000</v>
      </c>
      <c r="E66" s="51">
        <f>SUM(E60:E65)</f>
        <v>1790000</v>
      </c>
      <c r="F66" s="6">
        <f t="shared" ref="F66:S66" si="118">SUM(F60:F65)</f>
        <v>1820000</v>
      </c>
      <c r="G66" s="6">
        <f t="shared" si="118"/>
        <v>1850000</v>
      </c>
      <c r="H66" s="6">
        <f t="shared" ref="H66:R66" si="119">SUM(H60:H65)</f>
        <v>1880000</v>
      </c>
      <c r="I66" s="6">
        <f t="shared" si="119"/>
        <v>1910000</v>
      </c>
      <c r="J66" s="6">
        <f t="shared" si="119"/>
        <v>1940000</v>
      </c>
      <c r="K66" s="6">
        <f t="shared" si="119"/>
        <v>1970000</v>
      </c>
      <c r="L66" s="6">
        <f t="shared" si="119"/>
        <v>2000000</v>
      </c>
      <c r="M66" s="6">
        <f t="shared" si="119"/>
        <v>2000000</v>
      </c>
      <c r="N66" s="6">
        <f t="shared" si="119"/>
        <v>2000000</v>
      </c>
      <c r="O66" s="6">
        <f t="shared" si="119"/>
        <v>2000000</v>
      </c>
      <c r="P66" s="6">
        <f t="shared" si="119"/>
        <v>2000000</v>
      </c>
      <c r="Q66" s="6">
        <f t="shared" si="119"/>
        <v>2000000</v>
      </c>
      <c r="R66" s="6">
        <f t="shared" si="119"/>
        <v>2000000</v>
      </c>
      <c r="S66" s="6">
        <f t="shared" si="118"/>
        <v>2000000</v>
      </c>
      <c r="T66" s="6"/>
      <c r="U66" s="6">
        <f t="shared" si="117"/>
        <v>380000</v>
      </c>
      <c r="V66" s="6">
        <f t="shared" si="117"/>
        <v>380000</v>
      </c>
      <c r="W66" s="70">
        <f t="shared" si="117"/>
        <v>380000</v>
      </c>
      <c r="X66" s="214">
        <f t="shared" si="117"/>
        <v>2000000</v>
      </c>
    </row>
    <row r="67" spans="1:32" ht="15" customHeight="1">
      <c r="A67" s="264" t="s">
        <v>120</v>
      </c>
      <c r="B67" s="133">
        <f>IF(B39&lt;=2000,0,IF(B39&gt;B59*40%,(B59*40%-2000)*VLOOKUP(B69,$AE$38:$AF$44,2),(B39-2000)*VLOOKUP(B69,$AE$38:$AF$44,2)))</f>
        <v>0</v>
      </c>
      <c r="C67" s="145">
        <f>IF(C39&lt;=2000,0,IF(C39&gt;C59*40%,(C59*40%-2000)*VLOOKUP(C69,$AE$38:$AF$44,2),(C39-2000)*VLOOKUP(C69,$AE$38:$AF$44,2)))</f>
        <v>0</v>
      </c>
      <c r="D67" s="145">
        <f>IF(D39&lt;=2000,0,IF(D39&gt;D59*40%,(D59*40%-2000)*VLOOKUP(D69,$AE$38:$AF$44,2),(D39-2000)*VLOOKUP(D69,$AE$38:$AF$44,2)))</f>
        <v>0</v>
      </c>
      <c r="E67" s="209">
        <f t="shared" ref="E67:S67" si="120">IF(E39&lt;=2000,0,IF(E39&gt;E59*40%,(E59*40%-2000)*VLOOKUP(E69,$AE$38:$AF$45,2),(E39-2000)*VLOOKUP(E69,$AE$38:$AF$45,2)))</f>
        <v>0</v>
      </c>
      <c r="F67" s="238">
        <f t="shared" si="120"/>
        <v>0</v>
      </c>
      <c r="G67" s="238">
        <f t="shared" si="120"/>
        <v>0</v>
      </c>
      <c r="H67" s="238">
        <f t="shared" si="120"/>
        <v>0</v>
      </c>
      <c r="I67" s="238">
        <f t="shared" si="120"/>
        <v>0</v>
      </c>
      <c r="J67" s="238">
        <f t="shared" si="120"/>
        <v>0</v>
      </c>
      <c r="K67" s="238">
        <f t="shared" si="120"/>
        <v>0</v>
      </c>
      <c r="L67" s="238">
        <f t="shared" si="120"/>
        <v>0</v>
      </c>
      <c r="M67" s="238">
        <f t="shared" si="120"/>
        <v>0</v>
      </c>
      <c r="N67" s="238">
        <f t="shared" si="120"/>
        <v>0</v>
      </c>
      <c r="O67" s="238">
        <f t="shared" si="120"/>
        <v>0</v>
      </c>
      <c r="P67" s="238">
        <f t="shared" si="120"/>
        <v>0</v>
      </c>
      <c r="Q67" s="238">
        <f t="shared" si="120"/>
        <v>0</v>
      </c>
      <c r="R67" s="238">
        <f t="shared" si="120"/>
        <v>0</v>
      </c>
      <c r="S67" s="238">
        <f t="shared" si="120"/>
        <v>0</v>
      </c>
      <c r="T67" s="238"/>
      <c r="U67" s="238">
        <f>IF(U39&lt;=2000,0,IF(U39&gt;U59*40%,(U59*40%-2000)*VLOOKUP(U69,$AE$38:$AF$45,2),(U39-2000)*VLOOKUP(U69,$AE$38:$AF$45,2)))</f>
        <v>0</v>
      </c>
      <c r="V67" s="238">
        <f>IF(V39&lt;=2000,0,IF(V39&gt;V59*40%,(V59*40%-2000)*VLOOKUP(V69,$AE$38:$AF$45,2),(V39-2000)*VLOOKUP(V69,$AE$38:$AF$45,2)))</f>
        <v>0</v>
      </c>
      <c r="W67" s="235">
        <f>IF(W39&lt;=2000,0,IF(W39&gt;W59*40%,(W59*40%-2000)*VLOOKUP(W69,$AE$38:$AF$45,2),(W39-2000)*VLOOKUP(W69,$AE$38:$AF$45,2)))</f>
        <v>0</v>
      </c>
      <c r="X67" s="230"/>
    </row>
    <row r="68" spans="1:32" s="200" customFormat="1" ht="15" customHeight="1">
      <c r="A68" s="265" t="s">
        <v>86</v>
      </c>
      <c r="B68" s="199"/>
      <c r="C68" s="199"/>
      <c r="D68" s="199"/>
      <c r="E68" s="201">
        <f>IF(E39="",0,IF(E39&lt;=E59*0.4,IF(E39-2000&gt;0,E39-2000,0),E59*0.4-2000))</f>
        <v>0</v>
      </c>
      <c r="F68" s="239">
        <f t="shared" ref="F68:S68" si="121">IF(F39="",0,IF(F39&lt;=F59*0.4,IF(F39-2000&gt;0,F39-2000,0),F59*0.4-2000))</f>
        <v>0</v>
      </c>
      <c r="G68" s="239">
        <f t="shared" si="121"/>
        <v>0</v>
      </c>
      <c r="H68" s="239">
        <f t="shared" ref="H68:R68" si="122">IF(H39="",0,IF(H39&lt;=H59*0.4,IF(H39-2000&gt;0,H39-2000,0),H59*0.4-2000))</f>
        <v>0</v>
      </c>
      <c r="I68" s="239">
        <f t="shared" si="122"/>
        <v>0</v>
      </c>
      <c r="J68" s="239">
        <f t="shared" si="122"/>
        <v>0</v>
      </c>
      <c r="K68" s="239">
        <f t="shared" si="122"/>
        <v>0</v>
      </c>
      <c r="L68" s="239">
        <f t="shared" si="122"/>
        <v>0</v>
      </c>
      <c r="M68" s="239">
        <f t="shared" si="122"/>
        <v>0</v>
      </c>
      <c r="N68" s="239">
        <f t="shared" si="122"/>
        <v>0</v>
      </c>
      <c r="O68" s="239">
        <f t="shared" si="122"/>
        <v>0</v>
      </c>
      <c r="P68" s="239">
        <f t="shared" si="122"/>
        <v>0</v>
      </c>
      <c r="Q68" s="239">
        <f t="shared" si="122"/>
        <v>0</v>
      </c>
      <c r="R68" s="239">
        <f t="shared" si="122"/>
        <v>0</v>
      </c>
      <c r="S68" s="239">
        <f t="shared" si="121"/>
        <v>0</v>
      </c>
      <c r="T68" s="239"/>
      <c r="U68" s="239">
        <f t="shared" ref="U68:W68" si="123">IF(U39="",0,IF(U39&lt;=U59*0.4,IF(U39-2000&gt;0,U39-2000,0),U59*0.4-2000))</f>
        <v>0</v>
      </c>
      <c r="V68" s="239">
        <f t="shared" si="123"/>
        <v>0</v>
      </c>
      <c r="W68" s="236">
        <f t="shared" si="123"/>
        <v>-262000</v>
      </c>
      <c r="X68" s="267"/>
      <c r="Z68" s="1"/>
      <c r="AA68" s="1"/>
      <c r="AB68" s="1"/>
      <c r="AC68" s="1"/>
      <c r="AD68" s="1"/>
      <c r="AE68" s="1"/>
      <c r="AF68" s="1"/>
    </row>
    <row r="69" spans="1:32" ht="15" customHeight="1">
      <c r="A69" s="263" t="s">
        <v>27</v>
      </c>
      <c r="B69" s="49">
        <f t="shared" ref="B69:X69" si="124">ROUNDDOWN(IF(B59-B66&lt;0,0,B59-B66),-3)</f>
        <v>3670000</v>
      </c>
      <c r="C69" s="50">
        <f t="shared" si="124"/>
        <v>3670000</v>
      </c>
      <c r="D69" s="52">
        <f t="shared" si="124"/>
        <v>0</v>
      </c>
      <c r="E69" s="53">
        <f>ROUNDDOWN(IF(E59-E66&lt;0,0,E59-E66),-3)</f>
        <v>7010000</v>
      </c>
      <c r="F69" s="52">
        <f t="shared" ref="F69:S69" si="125">ROUNDDOWN(IF(F59-F66&lt;0,0,F59-F66),-3)</f>
        <v>7980000</v>
      </c>
      <c r="G69" s="52">
        <f t="shared" si="125"/>
        <v>8950000</v>
      </c>
      <c r="H69" s="52">
        <f t="shared" ref="H69:R69" si="126">ROUNDDOWN(IF(H59-H66&lt;0,0,H59-H66),-3)</f>
        <v>9920000</v>
      </c>
      <c r="I69" s="52">
        <f t="shared" si="126"/>
        <v>10890000</v>
      </c>
      <c r="J69" s="52">
        <f t="shared" si="126"/>
        <v>11860000</v>
      </c>
      <c r="K69" s="52">
        <f t="shared" si="126"/>
        <v>12830000</v>
      </c>
      <c r="L69" s="52">
        <f t="shared" si="126"/>
        <v>13800000</v>
      </c>
      <c r="M69" s="52">
        <f t="shared" si="126"/>
        <v>14800000</v>
      </c>
      <c r="N69" s="52">
        <f t="shared" si="126"/>
        <v>15800000</v>
      </c>
      <c r="O69" s="52">
        <f t="shared" si="126"/>
        <v>16800000</v>
      </c>
      <c r="P69" s="52">
        <f t="shared" si="126"/>
        <v>17800000</v>
      </c>
      <c r="Q69" s="52">
        <f t="shared" si="126"/>
        <v>18800000</v>
      </c>
      <c r="R69" s="52">
        <f t="shared" si="126"/>
        <v>19800000</v>
      </c>
      <c r="S69" s="52">
        <f t="shared" si="125"/>
        <v>20800000</v>
      </c>
      <c r="T69" s="52"/>
      <c r="U69" s="52">
        <f t="shared" si="124"/>
        <v>0</v>
      </c>
      <c r="V69" s="52">
        <f t="shared" si="124"/>
        <v>0</v>
      </c>
      <c r="W69" s="54">
        <f t="shared" si="124"/>
        <v>0</v>
      </c>
      <c r="X69" s="268">
        <f t="shared" si="124"/>
        <v>295800000</v>
      </c>
    </row>
    <row r="70" spans="1:32" ht="15" customHeight="1">
      <c r="A70" s="266" t="s">
        <v>87</v>
      </c>
      <c r="B70" s="144"/>
      <c r="C70" s="133"/>
      <c r="D70" s="133"/>
      <c r="E70" s="202">
        <f>ROUNDDOWN(E69-E68,-3)</f>
        <v>7010000</v>
      </c>
      <c r="F70" s="237">
        <f t="shared" ref="F70:S70" si="127">ROUNDDOWN(F69-F68,-3)</f>
        <v>7980000</v>
      </c>
      <c r="G70" s="237">
        <f t="shared" si="127"/>
        <v>8950000</v>
      </c>
      <c r="H70" s="237">
        <f t="shared" ref="H70:R70" si="128">ROUNDDOWN(H69-H68,-3)</f>
        <v>9920000</v>
      </c>
      <c r="I70" s="237">
        <f t="shared" si="128"/>
        <v>10890000</v>
      </c>
      <c r="J70" s="237">
        <f t="shared" si="128"/>
        <v>11860000</v>
      </c>
      <c r="K70" s="237">
        <f t="shared" si="128"/>
        <v>12830000</v>
      </c>
      <c r="L70" s="237">
        <f t="shared" si="128"/>
        <v>13800000</v>
      </c>
      <c r="M70" s="237">
        <f t="shared" si="128"/>
        <v>14800000</v>
      </c>
      <c r="N70" s="237">
        <f t="shared" si="128"/>
        <v>15800000</v>
      </c>
      <c r="O70" s="237">
        <f t="shared" si="128"/>
        <v>16800000</v>
      </c>
      <c r="P70" s="237">
        <f t="shared" si="128"/>
        <v>17800000</v>
      </c>
      <c r="Q70" s="237">
        <f t="shared" si="128"/>
        <v>18800000</v>
      </c>
      <c r="R70" s="237">
        <f t="shared" si="128"/>
        <v>19800000</v>
      </c>
      <c r="S70" s="237">
        <f t="shared" si="127"/>
        <v>20800000</v>
      </c>
      <c r="T70" s="237"/>
      <c r="U70" s="237">
        <f t="shared" ref="U70:W70" si="129">ROUNDDOWN(U69-U68,-3)</f>
        <v>0</v>
      </c>
      <c r="V70" s="237">
        <f t="shared" si="129"/>
        <v>0</v>
      </c>
      <c r="W70" s="272">
        <f t="shared" si="129"/>
        <v>262000</v>
      </c>
      <c r="X70" s="230"/>
      <c r="Z70" s="200"/>
      <c r="AA70" s="200"/>
      <c r="AB70" s="200"/>
      <c r="AC70" s="200"/>
      <c r="AD70" s="200"/>
      <c r="AE70" s="200"/>
      <c r="AF70" s="200"/>
    </row>
    <row r="71" spans="1:32" ht="15" customHeight="1">
      <c r="A71" s="263" t="s">
        <v>37</v>
      </c>
      <c r="B71" s="49">
        <f>ROUNDDOWN(B69*VLOOKUP(B69,$AE$38:$AF$44,2)-VLOOKUP(B69,$AE$48:$AF$54,2),-2)</f>
        <v>312900</v>
      </c>
      <c r="C71" s="49">
        <f>ROUNDDOWN(C69*VLOOKUP(C69,$AE$38:$AF$44,2)-VLOOKUP(C69,$AE$48:$AF$54,2),-2)</f>
        <v>312900</v>
      </c>
      <c r="D71" s="6">
        <f>ROUNDDOWN(D69*VLOOKUP(D69,$AE$38:$AF$44,2)-VLOOKUP(D69,$AE$48:$AF$54,2),-2)</f>
        <v>0</v>
      </c>
      <c r="E71" s="209">
        <f t="shared" ref="E71:S71" si="130">ROUNDDOWN(E69*VLOOKUP(E69,$AE$38:$AF$45,2)-VLOOKUP(E69,$AE$48:$AF$55,2),0)</f>
        <v>996802</v>
      </c>
      <c r="F71" s="238">
        <f t="shared" si="130"/>
        <v>1224587</v>
      </c>
      <c r="G71" s="238">
        <f t="shared" si="130"/>
        <v>1452372</v>
      </c>
      <c r="H71" s="238">
        <f t="shared" si="130"/>
        <v>1774089</v>
      </c>
      <c r="I71" s="238">
        <f t="shared" si="130"/>
        <v>2100911</v>
      </c>
      <c r="J71" s="238">
        <f t="shared" si="130"/>
        <v>2427733</v>
      </c>
      <c r="K71" s="238">
        <f t="shared" si="130"/>
        <v>2754555</v>
      </c>
      <c r="L71" s="238">
        <f t="shared" si="130"/>
        <v>3081378</v>
      </c>
      <c r="M71" s="238">
        <f t="shared" si="130"/>
        <v>3418308</v>
      </c>
      <c r="N71" s="238">
        <f t="shared" si="130"/>
        <v>3755238</v>
      </c>
      <c r="O71" s="238">
        <f t="shared" si="130"/>
        <v>4092168</v>
      </c>
      <c r="P71" s="238">
        <f t="shared" si="130"/>
        <v>4429098</v>
      </c>
      <c r="Q71" s="238">
        <f t="shared" si="130"/>
        <v>4823204</v>
      </c>
      <c r="R71" s="238">
        <f t="shared" si="130"/>
        <v>5231604</v>
      </c>
      <c r="S71" s="238">
        <f t="shared" si="130"/>
        <v>5640004</v>
      </c>
      <c r="T71" s="238"/>
      <c r="U71" s="238">
        <f>ROUNDDOWN(U69*VLOOKUP(U69,$AE$38:$AF$45,2)-VLOOKUP(U69,$AE$48:$AF$55,2),0)</f>
        <v>0</v>
      </c>
      <c r="V71" s="238">
        <f>ROUNDDOWN(V69*VLOOKUP(V69,$AE$38:$AF$45,2)-VLOOKUP(V69,$AE$48:$AF$55,2),0)</f>
        <v>0</v>
      </c>
      <c r="W71" s="235">
        <f>ROUNDDOWN(W69*VLOOKUP(W69,$AE$38:$AF$45,2)-VLOOKUP(W69,$AE$48:$AF$55,2),0)</f>
        <v>0</v>
      </c>
      <c r="X71" s="214">
        <f>ROUNDDOWN(X69*VLOOKUP(X69,$AE$38:$AF$44,2)-VLOOKUP(X69,$AE$48:$AF$54,2),-2)</f>
        <v>117950000</v>
      </c>
    </row>
    <row r="72" spans="1:32" ht="15" customHeight="1">
      <c r="A72" s="263"/>
      <c r="B72" s="49"/>
      <c r="C72" s="50"/>
      <c r="D72" s="6"/>
      <c r="E72" s="51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70"/>
      <c r="X72" s="214"/>
    </row>
    <row r="73" spans="1:32" ht="15" customHeight="1">
      <c r="A73" s="263" t="s">
        <v>37</v>
      </c>
      <c r="B73" s="49">
        <f>B71-B72</f>
        <v>312900</v>
      </c>
      <c r="C73" s="50">
        <f>C71-C72</f>
        <v>312900</v>
      </c>
      <c r="D73" s="6">
        <f>D71-D72</f>
        <v>0</v>
      </c>
      <c r="E73" s="51">
        <f>E71-E72</f>
        <v>996802</v>
      </c>
      <c r="F73" s="6">
        <f t="shared" ref="F73:S73" si="131">F71-F72</f>
        <v>1224587</v>
      </c>
      <c r="G73" s="6">
        <f t="shared" si="131"/>
        <v>1452372</v>
      </c>
      <c r="H73" s="6">
        <f t="shared" ref="H73:R73" si="132">H71-H72</f>
        <v>1774089</v>
      </c>
      <c r="I73" s="6">
        <f t="shared" si="132"/>
        <v>2100911</v>
      </c>
      <c r="J73" s="6">
        <f t="shared" si="132"/>
        <v>2427733</v>
      </c>
      <c r="K73" s="6">
        <f t="shared" si="132"/>
        <v>2754555</v>
      </c>
      <c r="L73" s="6">
        <f t="shared" si="132"/>
        <v>3081378</v>
      </c>
      <c r="M73" s="6">
        <f t="shared" si="132"/>
        <v>3418308</v>
      </c>
      <c r="N73" s="6">
        <f t="shared" si="132"/>
        <v>3755238</v>
      </c>
      <c r="O73" s="6">
        <f t="shared" si="132"/>
        <v>4092168</v>
      </c>
      <c r="P73" s="6">
        <f t="shared" si="132"/>
        <v>4429098</v>
      </c>
      <c r="Q73" s="6">
        <f t="shared" si="132"/>
        <v>4823204</v>
      </c>
      <c r="R73" s="6">
        <f t="shared" si="132"/>
        <v>5231604</v>
      </c>
      <c r="S73" s="6">
        <f t="shared" si="131"/>
        <v>5640004</v>
      </c>
      <c r="T73" s="6"/>
      <c r="U73" s="6">
        <f t="shared" ref="U73:X73" si="133">U71-U72</f>
        <v>0</v>
      </c>
      <c r="V73" s="6">
        <f t="shared" si="133"/>
        <v>0</v>
      </c>
      <c r="W73" s="70">
        <f t="shared" si="133"/>
        <v>0</v>
      </c>
      <c r="X73" s="214">
        <f t="shared" si="133"/>
        <v>117950000</v>
      </c>
    </row>
    <row r="74" spans="1:32" ht="24" customHeight="1">
      <c r="A74" s="266" t="s">
        <v>89</v>
      </c>
      <c r="B74" s="144"/>
      <c r="C74" s="144"/>
      <c r="D74" s="133"/>
      <c r="E74" s="209">
        <f t="shared" ref="E74:S74" si="134">ROUNDDOWN(E70*VLOOKUP(E70,$AE$38:$AF$45,2)-VLOOKUP(E70,$AE$48:$AF$55,2),0)</f>
        <v>996802</v>
      </c>
      <c r="F74" s="238">
        <f t="shared" si="134"/>
        <v>1224587</v>
      </c>
      <c r="G74" s="238">
        <f t="shared" si="134"/>
        <v>1452372</v>
      </c>
      <c r="H74" s="238">
        <f t="shared" si="134"/>
        <v>1774089</v>
      </c>
      <c r="I74" s="238">
        <f t="shared" si="134"/>
        <v>2100911</v>
      </c>
      <c r="J74" s="238">
        <f t="shared" si="134"/>
        <v>2427733</v>
      </c>
      <c r="K74" s="238">
        <f t="shared" si="134"/>
        <v>2754555</v>
      </c>
      <c r="L74" s="238">
        <f t="shared" si="134"/>
        <v>3081378</v>
      </c>
      <c r="M74" s="238">
        <f t="shared" si="134"/>
        <v>3418308</v>
      </c>
      <c r="N74" s="238">
        <f t="shared" si="134"/>
        <v>3755238</v>
      </c>
      <c r="O74" s="238">
        <f t="shared" si="134"/>
        <v>4092168</v>
      </c>
      <c r="P74" s="238">
        <f t="shared" si="134"/>
        <v>4429098</v>
      </c>
      <c r="Q74" s="238">
        <f t="shared" si="134"/>
        <v>4823204</v>
      </c>
      <c r="R74" s="238">
        <f t="shared" si="134"/>
        <v>5231604</v>
      </c>
      <c r="S74" s="238">
        <f t="shared" si="134"/>
        <v>5640004</v>
      </c>
      <c r="T74" s="238"/>
      <c r="U74" s="238">
        <f>ROUNDDOWN(U70*VLOOKUP(U70,$AE$38:$AF$45,2)-VLOOKUP(U70,$AE$48:$AF$55,2),0)</f>
        <v>0</v>
      </c>
      <c r="V74" s="238">
        <f>ROUNDDOWN(V70*VLOOKUP(V70,$AE$38:$AF$45,2)-VLOOKUP(V70,$AE$48:$AF$55,2),0)</f>
        <v>0</v>
      </c>
      <c r="W74" s="235">
        <f>ROUNDDOWN(W70*VLOOKUP(W70,$AE$38:$AF$45,2)-VLOOKUP(W70,$AE$48:$AF$55,2),0)</f>
        <v>13375</v>
      </c>
      <c r="X74" s="230"/>
    </row>
    <row r="75" spans="1:32" ht="24" customHeight="1" thickBot="1">
      <c r="A75" s="48"/>
      <c r="B75" s="49"/>
      <c r="C75" s="50"/>
      <c r="D75" s="6"/>
      <c r="E75" s="51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250"/>
      <c r="X75" s="214"/>
    </row>
    <row r="76" spans="1:32" ht="24" customHeight="1" thickBot="1">
      <c r="A76" s="147" t="s">
        <v>81</v>
      </c>
      <c r="B76" s="148">
        <f>B73+B74</f>
        <v>312900</v>
      </c>
      <c r="C76" s="148">
        <f>C73+C74</f>
        <v>312900</v>
      </c>
      <c r="D76" s="149">
        <f>D73</f>
        <v>0</v>
      </c>
      <c r="E76" s="150">
        <f>E73</f>
        <v>996802</v>
      </c>
      <c r="F76" s="149">
        <f t="shared" ref="F76:S76" si="135">F73</f>
        <v>1224587</v>
      </c>
      <c r="G76" s="149">
        <f t="shared" si="135"/>
        <v>1452372</v>
      </c>
      <c r="H76" s="149">
        <f t="shared" ref="H76:R76" si="136">H73</f>
        <v>1774089</v>
      </c>
      <c r="I76" s="149">
        <f t="shared" si="136"/>
        <v>2100911</v>
      </c>
      <c r="J76" s="149">
        <f t="shared" si="136"/>
        <v>2427733</v>
      </c>
      <c r="K76" s="149">
        <f t="shared" si="136"/>
        <v>2754555</v>
      </c>
      <c r="L76" s="149">
        <f t="shared" si="136"/>
        <v>3081378</v>
      </c>
      <c r="M76" s="149">
        <f t="shared" si="136"/>
        <v>3418308</v>
      </c>
      <c r="N76" s="149">
        <f t="shared" si="136"/>
        <v>3755238</v>
      </c>
      <c r="O76" s="149">
        <f t="shared" si="136"/>
        <v>4092168</v>
      </c>
      <c r="P76" s="149">
        <f t="shared" si="136"/>
        <v>4429098</v>
      </c>
      <c r="Q76" s="149">
        <f t="shared" si="136"/>
        <v>4823204</v>
      </c>
      <c r="R76" s="149">
        <f t="shared" si="136"/>
        <v>5231604</v>
      </c>
      <c r="S76" s="149">
        <f t="shared" si="135"/>
        <v>5640004</v>
      </c>
      <c r="T76" s="149"/>
      <c r="U76" s="149">
        <f t="shared" ref="U76:X77" si="137">U73</f>
        <v>0</v>
      </c>
      <c r="V76" s="149">
        <f t="shared" si="137"/>
        <v>0</v>
      </c>
      <c r="W76" s="151">
        <f t="shared" si="137"/>
        <v>0</v>
      </c>
      <c r="X76" s="231">
        <f t="shared" si="137"/>
        <v>117950000</v>
      </c>
    </row>
    <row r="77" spans="1:32" ht="24" customHeight="1">
      <c r="A77" s="152" t="s">
        <v>88</v>
      </c>
      <c r="B77" s="144"/>
      <c r="C77" s="133"/>
      <c r="D77" s="133"/>
      <c r="E77" s="145">
        <f>E74</f>
        <v>996802</v>
      </c>
      <c r="F77" s="133">
        <f t="shared" ref="F77:S77" si="138">F74</f>
        <v>1224587</v>
      </c>
      <c r="G77" s="133">
        <f t="shared" si="138"/>
        <v>1452372</v>
      </c>
      <c r="H77" s="133">
        <f t="shared" ref="H77:R77" si="139">H74</f>
        <v>1774089</v>
      </c>
      <c r="I77" s="133">
        <f t="shared" si="139"/>
        <v>2100911</v>
      </c>
      <c r="J77" s="133">
        <f t="shared" si="139"/>
        <v>2427733</v>
      </c>
      <c r="K77" s="133">
        <f t="shared" si="139"/>
        <v>2754555</v>
      </c>
      <c r="L77" s="133">
        <f t="shared" si="139"/>
        <v>3081378</v>
      </c>
      <c r="M77" s="133">
        <f t="shared" si="139"/>
        <v>3418308</v>
      </c>
      <c r="N77" s="133">
        <f t="shared" si="139"/>
        <v>3755238</v>
      </c>
      <c r="O77" s="133">
        <f t="shared" si="139"/>
        <v>4092168</v>
      </c>
      <c r="P77" s="133">
        <f t="shared" si="139"/>
        <v>4429098</v>
      </c>
      <c r="Q77" s="133">
        <f t="shared" si="139"/>
        <v>4823204</v>
      </c>
      <c r="R77" s="133">
        <f t="shared" si="139"/>
        <v>5231604</v>
      </c>
      <c r="S77" s="133">
        <f t="shared" si="138"/>
        <v>5640004</v>
      </c>
      <c r="T77" s="133"/>
      <c r="U77" s="133">
        <f t="shared" si="137"/>
        <v>0</v>
      </c>
      <c r="V77" s="133">
        <f t="shared" si="137"/>
        <v>0</v>
      </c>
      <c r="W77" s="146">
        <f t="shared" si="137"/>
        <v>13375</v>
      </c>
      <c r="X77" s="230"/>
      <c r="Y77" s="6"/>
    </row>
    <row r="78" spans="1:32" ht="24" customHeight="1" thickBot="1">
      <c r="A78" s="153" t="s">
        <v>39</v>
      </c>
      <c r="B78" s="49"/>
      <c r="C78" s="50"/>
      <c r="D78" s="6"/>
      <c r="E78" s="51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70"/>
      <c r="X78" s="214"/>
      <c r="Y78" s="6"/>
      <c r="AA78" s="6"/>
      <c r="AB78" s="6"/>
    </row>
    <row r="79" spans="1:32" ht="18" customHeight="1">
      <c r="A79" s="154" t="s">
        <v>40</v>
      </c>
      <c r="B79" s="155">
        <f>B76+B38</f>
        <v>682400</v>
      </c>
      <c r="C79" s="156">
        <f>C76+C55-C50-C51</f>
        <v>308900</v>
      </c>
      <c r="D79" s="157">
        <f t="shared" ref="D79:X79" si="140">D76+D38</f>
        <v>0</v>
      </c>
      <c r="E79" s="158">
        <f t="shared" si="140"/>
        <v>1700302</v>
      </c>
      <c r="F79" s="157">
        <f t="shared" ref="F79:S79" si="141">F76+F38</f>
        <v>2025087</v>
      </c>
      <c r="G79" s="157">
        <f t="shared" si="141"/>
        <v>2349872</v>
      </c>
      <c r="H79" s="157">
        <f t="shared" ref="H79:R79" si="142">H76+H38</f>
        <v>2768589</v>
      </c>
      <c r="I79" s="157">
        <f t="shared" si="142"/>
        <v>3192411</v>
      </c>
      <c r="J79" s="157">
        <f t="shared" si="142"/>
        <v>3616233</v>
      </c>
      <c r="K79" s="157">
        <f t="shared" si="142"/>
        <v>4040055</v>
      </c>
      <c r="L79" s="157">
        <f t="shared" si="142"/>
        <v>4463878</v>
      </c>
      <c r="M79" s="157">
        <f t="shared" si="142"/>
        <v>4900808</v>
      </c>
      <c r="N79" s="157">
        <f t="shared" si="142"/>
        <v>5337738</v>
      </c>
      <c r="O79" s="157">
        <f t="shared" si="142"/>
        <v>5774668</v>
      </c>
      <c r="P79" s="157">
        <f t="shared" si="142"/>
        <v>6211598</v>
      </c>
      <c r="Q79" s="157">
        <f t="shared" si="142"/>
        <v>6705704</v>
      </c>
      <c r="R79" s="157">
        <f t="shared" si="142"/>
        <v>7214104</v>
      </c>
      <c r="S79" s="157">
        <f t="shared" si="141"/>
        <v>7722504</v>
      </c>
      <c r="T79" s="157"/>
      <c r="U79" s="157">
        <f t="shared" si="140"/>
        <v>0</v>
      </c>
      <c r="V79" s="157">
        <f t="shared" si="140"/>
        <v>0</v>
      </c>
      <c r="W79" s="159">
        <f t="shared" si="140"/>
        <v>0</v>
      </c>
      <c r="X79" s="232">
        <f t="shared" si="140"/>
        <v>144632500</v>
      </c>
      <c r="Y79" s="6"/>
      <c r="Z79" s="6"/>
      <c r="AA79" s="6"/>
      <c r="AB79" s="6"/>
    </row>
    <row r="80" spans="1:32" ht="19.5" customHeight="1" thickBot="1">
      <c r="A80" s="160" t="s">
        <v>41</v>
      </c>
      <c r="B80" s="110">
        <f>B76+B54</f>
        <v>686400</v>
      </c>
      <c r="C80" s="161">
        <f>C76+C55</f>
        <v>312900</v>
      </c>
      <c r="D80" s="162">
        <f t="shared" ref="D80:X80" si="143">D76+D54</f>
        <v>4000</v>
      </c>
      <c r="E80" s="163">
        <f t="shared" si="143"/>
        <v>1705302</v>
      </c>
      <c r="F80" s="162">
        <f t="shared" ref="F80:S80" si="144">F76+F54</f>
        <v>2030087</v>
      </c>
      <c r="G80" s="162">
        <f t="shared" si="144"/>
        <v>2354872</v>
      </c>
      <c r="H80" s="162">
        <f t="shared" ref="H80:R80" si="145">H76+H54</f>
        <v>2773589</v>
      </c>
      <c r="I80" s="162">
        <f t="shared" si="145"/>
        <v>3197411</v>
      </c>
      <c r="J80" s="162">
        <f t="shared" si="145"/>
        <v>3621233</v>
      </c>
      <c r="K80" s="162">
        <f t="shared" si="145"/>
        <v>4045055</v>
      </c>
      <c r="L80" s="162">
        <f t="shared" si="145"/>
        <v>4468878</v>
      </c>
      <c r="M80" s="162">
        <f t="shared" si="145"/>
        <v>4905808</v>
      </c>
      <c r="N80" s="162">
        <f t="shared" si="145"/>
        <v>5342738</v>
      </c>
      <c r="O80" s="162">
        <f t="shared" si="145"/>
        <v>5779668</v>
      </c>
      <c r="P80" s="162">
        <f t="shared" si="145"/>
        <v>6216598</v>
      </c>
      <c r="Q80" s="162">
        <f t="shared" si="145"/>
        <v>6710704</v>
      </c>
      <c r="R80" s="162">
        <f t="shared" si="145"/>
        <v>7219104</v>
      </c>
      <c r="S80" s="162">
        <f t="shared" si="144"/>
        <v>7727504</v>
      </c>
      <c r="T80" s="162"/>
      <c r="U80" s="162">
        <f t="shared" si="143"/>
        <v>5000</v>
      </c>
      <c r="V80" s="162">
        <f t="shared" si="143"/>
        <v>5000</v>
      </c>
      <c r="W80" s="164">
        <f t="shared" si="143"/>
        <v>5000</v>
      </c>
      <c r="X80" s="233">
        <f t="shared" si="143"/>
        <v>144636600</v>
      </c>
      <c r="Y80" s="6"/>
      <c r="Z80" s="6"/>
      <c r="AA80" s="6"/>
      <c r="AB80" s="6"/>
    </row>
    <row r="81" spans="1:28" ht="19.5" customHeight="1">
      <c r="B81" s="134"/>
      <c r="C81" s="134"/>
      <c r="E81" s="51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70"/>
      <c r="X81" s="229"/>
      <c r="Y81" s="6"/>
      <c r="Z81" s="6"/>
      <c r="AA81" s="6"/>
      <c r="AB81" s="6"/>
    </row>
    <row r="82" spans="1:28" ht="19.5" customHeight="1">
      <c r="A82" s="165" t="s">
        <v>50</v>
      </c>
      <c r="B82" s="134">
        <f t="shared" ref="B82:X82" si="146">B9-B80</f>
        <v>6313600</v>
      </c>
      <c r="C82" s="134">
        <f t="shared" si="146"/>
        <v>6687100</v>
      </c>
      <c r="D82" s="1">
        <f t="shared" si="146"/>
        <v>-4000</v>
      </c>
      <c r="E82" s="51">
        <f t="shared" si="146"/>
        <v>9294698</v>
      </c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>
        <f t="shared" si="146"/>
        <v>-5000</v>
      </c>
      <c r="V82" s="6">
        <f t="shared" si="146"/>
        <v>-5000</v>
      </c>
      <c r="W82" s="70">
        <f t="shared" si="146"/>
        <v>-5000</v>
      </c>
      <c r="X82" s="229">
        <f t="shared" si="146"/>
        <v>155363400</v>
      </c>
      <c r="Y82" s="6"/>
      <c r="Z82" s="6"/>
      <c r="AA82" s="6"/>
      <c r="AB82" s="6"/>
    </row>
    <row r="83" spans="1:28" ht="19.5" customHeight="1">
      <c r="A83" s="165" t="s">
        <v>51</v>
      </c>
      <c r="B83" s="134">
        <f t="shared" ref="B83:X83" si="147">B82-B17</f>
        <v>5263600</v>
      </c>
      <c r="C83" s="134">
        <f t="shared" si="147"/>
        <v>5637100</v>
      </c>
      <c r="D83" s="1">
        <f t="shared" si="147"/>
        <v>-4000</v>
      </c>
      <c r="E83" s="51">
        <f t="shared" si="147"/>
        <v>7884698</v>
      </c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>
        <f t="shared" si="147"/>
        <v>-5000</v>
      </c>
      <c r="V83" s="6">
        <f t="shared" si="147"/>
        <v>-5000</v>
      </c>
      <c r="W83" s="70">
        <f t="shared" si="147"/>
        <v>-5000</v>
      </c>
      <c r="X83" s="273">
        <f t="shared" si="147"/>
        <v>153743400</v>
      </c>
      <c r="Y83" s="6"/>
      <c r="Z83" s="6"/>
      <c r="AA83" s="6"/>
      <c r="AB83" s="6"/>
    </row>
    <row r="84" spans="1:28" ht="19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234"/>
      <c r="Y84" s="6"/>
      <c r="Z84" s="6"/>
      <c r="AA84" s="6"/>
      <c r="AB84" s="6"/>
    </row>
    <row r="85" spans="1:28" ht="15" customHeight="1">
      <c r="A85" s="6" t="s">
        <v>91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234"/>
      <c r="Y85" s="6"/>
      <c r="Z85" s="6"/>
      <c r="AA85" s="6"/>
      <c r="AB85" s="6"/>
    </row>
    <row r="86" spans="1:28" ht="15" customHeight="1">
      <c r="A86" s="7" t="s">
        <v>78</v>
      </c>
      <c r="B86" s="7"/>
      <c r="C86" s="7"/>
      <c r="D86" s="7"/>
      <c r="E86" s="7">
        <f t="shared" ref="E86:W86" si="148">E47</f>
        <v>213524.87334064973</v>
      </c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>
        <f t="shared" si="148"/>
        <v>2000</v>
      </c>
      <c r="V86" s="7">
        <f t="shared" si="148"/>
        <v>2000</v>
      </c>
      <c r="W86" s="7">
        <f t="shared" si="148"/>
        <v>2000</v>
      </c>
      <c r="X86" s="6"/>
      <c r="Y86" s="6"/>
      <c r="Z86" s="6"/>
      <c r="AA86" s="6"/>
      <c r="AB86" s="6"/>
    </row>
    <row r="87" spans="1:28" ht="15" customHeight="1">
      <c r="A87" s="7" t="s">
        <v>82</v>
      </c>
      <c r="B87" s="307"/>
      <c r="C87" s="307"/>
      <c r="D87" s="2"/>
      <c r="E87" s="7">
        <v>2000</v>
      </c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>
        <v>2000</v>
      </c>
      <c r="V87" s="7">
        <v>2000</v>
      </c>
      <c r="W87" s="7">
        <v>2000</v>
      </c>
      <c r="X87" s="6"/>
      <c r="Y87" s="6"/>
      <c r="Z87" s="6"/>
      <c r="AA87" s="6"/>
      <c r="AB87" s="6"/>
    </row>
    <row r="88" spans="1:28" ht="15" customHeight="1">
      <c r="A88" s="7" t="s">
        <v>84</v>
      </c>
      <c r="B88" s="8"/>
      <c r="C88" s="8"/>
      <c r="D88" s="7"/>
      <c r="E88" s="211">
        <f>(E86-E87)*VLOOKUP(E70,$AE$38:$AF$45,2)</f>
        <v>49672.386006584777</v>
      </c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>
        <f>(U86-U87)*VLOOKUP(U70,$AE$38:$AF$45,2)</f>
        <v>0</v>
      </c>
      <c r="V88" s="211">
        <f>(V86-V87)*VLOOKUP(V70,$AE$38:$AF$45,2)</f>
        <v>0</v>
      </c>
      <c r="W88" s="211">
        <f>(W86-W87)*VLOOKUP(W70,$AE$38:$AF$45,2)</f>
        <v>0</v>
      </c>
      <c r="X88" s="6"/>
      <c r="Z88" s="6"/>
      <c r="AA88" s="6"/>
      <c r="AB88" s="6"/>
    </row>
    <row r="89" spans="1:28" ht="15" customHeight="1">
      <c r="A89" s="7" t="s">
        <v>83</v>
      </c>
      <c r="B89" s="307"/>
      <c r="C89" s="8"/>
      <c r="D89" s="7"/>
      <c r="E89" s="7">
        <f>(E86-E87)*0.1</f>
        <v>21152.487334064976</v>
      </c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>
        <f t="shared" ref="U89:W89" si="149">(U86-U87)*0.1</f>
        <v>0</v>
      </c>
      <c r="V89" s="7">
        <f t="shared" si="149"/>
        <v>0</v>
      </c>
      <c r="W89" s="7">
        <f t="shared" si="149"/>
        <v>0</v>
      </c>
      <c r="X89" s="6"/>
      <c r="Z89" s="6"/>
    </row>
    <row r="90" spans="1:28" ht="15" customHeight="1">
      <c r="A90" s="7" t="s">
        <v>85</v>
      </c>
      <c r="B90" s="307"/>
      <c r="C90" s="8"/>
      <c r="D90" s="7"/>
      <c r="E90" s="7">
        <f>(E86-E87)*E46</f>
        <v>140700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>
        <f t="shared" ref="U90:W90" si="150">(U47-U87)*U46</f>
        <v>0</v>
      </c>
      <c r="V90" s="7">
        <f t="shared" si="150"/>
        <v>0</v>
      </c>
      <c r="W90" s="7">
        <f t="shared" si="150"/>
        <v>0</v>
      </c>
      <c r="X90" s="6"/>
    </row>
    <row r="91" spans="1:28" ht="15" customHeight="1">
      <c r="A91" s="7" t="s">
        <v>90</v>
      </c>
      <c r="B91" s="300"/>
      <c r="C91" s="300"/>
      <c r="D91" s="7"/>
      <c r="E91" s="7">
        <f>SUM(E87:E90)</f>
        <v>213524.87334064976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>
        <f t="shared" ref="U91:W91" si="151">SUM(U87:U90)</f>
        <v>2000</v>
      </c>
      <c r="V91" s="7">
        <f t="shared" si="151"/>
        <v>2000</v>
      </c>
      <c r="W91" s="7">
        <f t="shared" si="151"/>
        <v>2000</v>
      </c>
      <c r="X91" s="6"/>
    </row>
    <row r="92" spans="1:28" ht="15" customHeight="1">
      <c r="A92" s="6"/>
      <c r="B92" s="6"/>
      <c r="C92" s="6"/>
      <c r="D92" s="6"/>
      <c r="E92" s="84" t="str">
        <f t="shared" ref="E92:W92" si="152">IF(E91=E47,"ok","  ")</f>
        <v>ok</v>
      </c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 t="str">
        <f t="shared" si="152"/>
        <v>ok</v>
      </c>
      <c r="V92" s="84" t="str">
        <f t="shared" si="152"/>
        <v>ok</v>
      </c>
      <c r="W92" s="84" t="str">
        <f t="shared" si="152"/>
        <v>ok</v>
      </c>
      <c r="X92" s="6"/>
    </row>
    <row r="93" spans="1:28" ht="1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8" ht="1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</sheetData>
  <mergeCells count="21">
    <mergeCell ref="A1:V2"/>
    <mergeCell ref="W2:X2"/>
    <mergeCell ref="AH2:AI3"/>
    <mergeCell ref="AN2:AO2"/>
    <mergeCell ref="AP2:AQ2"/>
    <mergeCell ref="W3:X3"/>
    <mergeCell ref="W4:X4"/>
    <mergeCell ref="AH4:AH5"/>
    <mergeCell ref="B89:B90"/>
    <mergeCell ref="AI4:AI5"/>
    <mergeCell ref="W5:X5"/>
    <mergeCell ref="W6:X6"/>
    <mergeCell ref="AH6:AH7"/>
    <mergeCell ref="AI6:AI7"/>
    <mergeCell ref="W7:X7"/>
    <mergeCell ref="B91:C91"/>
    <mergeCell ref="AA36:AB36"/>
    <mergeCell ref="AC36:AD36"/>
    <mergeCell ref="AC56:AD56"/>
    <mergeCell ref="AE56:AF56"/>
    <mergeCell ref="B87:C87"/>
  </mergeCells>
  <phoneticPr fontId="1"/>
  <pageMargins left="0.59055118110236227" right="0.59055118110236227" top="0.39370078740157483" bottom="0.39370078740157483" header="0.31496062992125984" footer="0.27559055118110237"/>
  <pageSetup paperSize="9" scale="34" orientation="landscape" r:id="rId1"/>
  <headerFooter alignWithMargins="0"/>
  <rowBreaks count="1" manualBreakCount="1">
    <brk id="40" max="1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11" sqref="B11:E11"/>
    </sheetView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9"/>
  <sheetViews>
    <sheetView tabSelected="1" view="pageBreakPreview" topLeftCell="A3" zoomScaleNormal="100" zoomScaleSheetLayoutView="100" workbookViewId="0">
      <selection activeCell="D7" sqref="D7"/>
    </sheetView>
  </sheetViews>
  <sheetFormatPr defaultColWidth="8.875" defaultRowHeight="13.5"/>
  <cols>
    <col min="1" max="2" width="2.875" style="169" customWidth="1"/>
    <col min="3" max="3" width="25.5" style="169" customWidth="1"/>
    <col min="4" max="4" width="11.625" style="169" customWidth="1"/>
    <col min="5" max="5" width="4.5" style="173" customWidth="1"/>
    <col min="6" max="9" width="8.875" style="169"/>
    <col min="10" max="10" width="1.5" style="169" customWidth="1"/>
    <col min="11" max="16384" width="8.875" style="169"/>
  </cols>
  <sheetData>
    <row r="1" spans="1:9" ht="13.15" customHeight="1">
      <c r="A1" s="180"/>
      <c r="B1" s="181"/>
      <c r="C1" s="181"/>
      <c r="D1" s="181"/>
      <c r="E1" s="181"/>
      <c r="F1" s="181"/>
      <c r="G1" s="181"/>
      <c r="H1" s="181"/>
      <c r="I1" s="181"/>
    </row>
    <row r="2" spans="1:9" ht="28.9" customHeight="1">
      <c r="A2" s="181"/>
      <c r="B2" s="324" t="s">
        <v>113</v>
      </c>
      <c r="C2" s="325"/>
      <c r="D2" s="325"/>
      <c r="E2" s="325"/>
      <c r="F2" s="325"/>
      <c r="G2" s="325"/>
      <c r="H2" s="325"/>
      <c r="I2" s="326"/>
    </row>
    <row r="3" spans="1:9" ht="7.15" customHeight="1">
      <c r="A3" s="176"/>
      <c r="B3" s="176"/>
      <c r="C3" s="176"/>
      <c r="D3" s="176"/>
      <c r="E3" s="176"/>
    </row>
    <row r="4" spans="1:9" ht="24" customHeight="1">
      <c r="A4" s="188" t="s">
        <v>114</v>
      </c>
      <c r="B4" s="176"/>
      <c r="C4" s="176"/>
      <c r="D4" s="176"/>
      <c r="E4" s="176"/>
    </row>
    <row r="5" spans="1:9">
      <c r="A5" s="176"/>
      <c r="B5" s="176"/>
      <c r="C5" s="176"/>
      <c r="D5" s="176"/>
      <c r="E5" s="176"/>
    </row>
    <row r="6" spans="1:9" ht="17.45" customHeight="1">
      <c r="A6" s="169" t="s">
        <v>112</v>
      </c>
    </row>
    <row r="7" spans="1:9" ht="19.899999999999999" customHeight="1">
      <c r="B7" s="327" t="s">
        <v>101</v>
      </c>
      <c r="C7" s="328"/>
      <c r="D7" s="191"/>
      <c r="E7" s="299" t="s">
        <v>102</v>
      </c>
    </row>
    <row r="8" spans="1:9" ht="17.45" customHeight="1">
      <c r="B8" s="184" t="s">
        <v>110</v>
      </c>
      <c r="C8" s="174"/>
      <c r="D8" s="175"/>
      <c r="E8" s="174"/>
    </row>
    <row r="9" spans="1:9" ht="9" customHeight="1">
      <c r="B9" s="174"/>
      <c r="C9" s="174"/>
      <c r="D9" s="175"/>
      <c r="E9" s="174"/>
    </row>
    <row r="10" spans="1:9" ht="17.45" customHeight="1">
      <c r="A10" s="169" t="s">
        <v>103</v>
      </c>
    </row>
    <row r="11" spans="1:9" ht="19.899999999999999" customHeight="1">
      <c r="B11" s="329" t="s">
        <v>116</v>
      </c>
      <c r="C11" s="330"/>
      <c r="D11" s="330"/>
      <c r="E11" s="331"/>
    </row>
    <row r="12" spans="1:9" ht="19.899999999999999" customHeight="1">
      <c r="B12" s="332"/>
      <c r="C12" s="189" t="s">
        <v>117</v>
      </c>
      <c r="D12" s="192"/>
      <c r="E12" s="299" t="s">
        <v>4</v>
      </c>
    </row>
    <row r="13" spans="1:9" ht="19.899999999999999" customHeight="1">
      <c r="B13" s="333"/>
      <c r="C13" s="190" t="s">
        <v>123</v>
      </c>
      <c r="D13" s="192"/>
      <c r="E13" s="299" t="s">
        <v>4</v>
      </c>
    </row>
    <row r="14" spans="1:9" ht="19.899999999999999" customHeight="1">
      <c r="B14" s="329" t="s">
        <v>7</v>
      </c>
      <c r="C14" s="330"/>
      <c r="D14" s="330"/>
      <c r="E14" s="331"/>
    </row>
    <row r="15" spans="1:9" ht="19.899999999999999" customHeight="1">
      <c r="B15" s="171"/>
      <c r="C15" s="170" t="s">
        <v>106</v>
      </c>
      <c r="D15" s="191"/>
      <c r="E15" s="299" t="s">
        <v>4</v>
      </c>
    </row>
    <row r="16" spans="1:9" ht="19.899999999999999" customHeight="1">
      <c r="B16" s="171"/>
      <c r="C16" s="170" t="s">
        <v>107</v>
      </c>
      <c r="D16" s="191"/>
      <c r="E16" s="299" t="s">
        <v>4</v>
      </c>
    </row>
    <row r="17" spans="1:10" ht="19.899999999999999" customHeight="1">
      <c r="B17" s="171"/>
      <c r="C17" s="170" t="s">
        <v>108</v>
      </c>
      <c r="D17" s="191"/>
      <c r="E17" s="299" t="s">
        <v>4</v>
      </c>
    </row>
    <row r="18" spans="1:10" ht="19.899999999999999" customHeight="1">
      <c r="B18" s="172"/>
      <c r="C18" s="170" t="s">
        <v>99</v>
      </c>
      <c r="D18" s="191"/>
      <c r="E18" s="299" t="s">
        <v>4</v>
      </c>
    </row>
    <row r="19" spans="1:10" ht="12" customHeight="1">
      <c r="B19" s="175"/>
      <c r="C19" s="175"/>
      <c r="D19" s="175"/>
      <c r="E19" s="174"/>
    </row>
    <row r="20" spans="1:10" ht="17.45" customHeight="1">
      <c r="A20" s="169" t="s">
        <v>104</v>
      </c>
      <c r="E20" s="174"/>
    </row>
    <row r="21" spans="1:10" ht="23.45" customHeight="1">
      <c r="B21" s="327" t="s">
        <v>100</v>
      </c>
      <c r="C21" s="328"/>
      <c r="D21" s="191"/>
      <c r="E21" s="299" t="s">
        <v>102</v>
      </c>
    </row>
    <row r="22" spans="1:10" ht="17.45" customHeight="1">
      <c r="B22" s="174"/>
      <c r="C22" s="174"/>
      <c r="D22" s="175"/>
      <c r="E22" s="174"/>
    </row>
    <row r="23" spans="1:10" ht="31.15" customHeight="1">
      <c r="B23" s="174"/>
      <c r="C23" s="174"/>
      <c r="D23" s="175"/>
      <c r="E23" s="174"/>
    </row>
    <row r="24" spans="1:10" ht="17.45" customHeight="1" thickBot="1">
      <c r="B24" s="174"/>
      <c r="C24" s="174"/>
      <c r="D24" s="175"/>
      <c r="E24" s="174"/>
    </row>
    <row r="25" spans="1:10" ht="45" customHeight="1" thickTop="1" thickBot="1">
      <c r="B25" s="321" t="s">
        <v>105</v>
      </c>
      <c r="C25" s="322"/>
      <c r="D25" s="182">
        <f>計算欄!W44</f>
        <v>0</v>
      </c>
      <c r="E25" s="183" t="s">
        <v>102</v>
      </c>
      <c r="F25" s="177"/>
      <c r="G25" s="177"/>
    </row>
    <row r="26" spans="1:10" ht="8.4499999999999993" customHeight="1" thickTop="1">
      <c r="B26" s="177"/>
      <c r="C26" s="177"/>
      <c r="D26" s="177"/>
      <c r="E26" s="178"/>
      <c r="F26" s="177"/>
      <c r="G26" s="177"/>
    </row>
    <row r="27" spans="1:10" ht="28.15" customHeight="1">
      <c r="B27" s="177"/>
      <c r="C27" s="185" t="s">
        <v>109</v>
      </c>
      <c r="D27" s="186">
        <f>D21-D25</f>
        <v>0</v>
      </c>
      <c r="E27" s="187" t="s">
        <v>102</v>
      </c>
      <c r="F27" s="178" t="s">
        <v>111</v>
      </c>
      <c r="G27" s="177"/>
    </row>
    <row r="28" spans="1:10" ht="10.9" customHeight="1">
      <c r="B28" s="177"/>
      <c r="C28" s="179"/>
      <c r="D28" s="177"/>
      <c r="E28" s="178"/>
      <c r="F28" s="177"/>
      <c r="G28" s="177"/>
    </row>
    <row r="29" spans="1:10" ht="28.15" customHeight="1">
      <c r="A29" s="323" t="s">
        <v>115</v>
      </c>
      <c r="B29" s="323"/>
      <c r="C29" s="323"/>
      <c r="D29" s="323"/>
      <c r="E29" s="323"/>
      <c r="F29" s="323"/>
      <c r="G29" s="323"/>
      <c r="H29" s="323"/>
      <c r="I29" s="323"/>
      <c r="J29" s="323"/>
    </row>
  </sheetData>
  <sheetProtection algorithmName="SHA-512" hashValue="gomv0waLy+FVnhoYT1XvbrOr/mNs7wI1H5Bxv+oOdhbzh+M6gxDST2iWFjRNDrQiglNdlw8mZGYQSXmVoTyYbg==" saltValue="PkHx43hhkHAZyNK9IcWqlA==" spinCount="100000" sheet="1" objects="1" scenarios="1" selectLockedCells="1"/>
  <mergeCells count="8">
    <mergeCell ref="B25:C25"/>
    <mergeCell ref="A29:J29"/>
    <mergeCell ref="B2:I2"/>
    <mergeCell ref="B7:C7"/>
    <mergeCell ref="B11:E11"/>
    <mergeCell ref="B12:B13"/>
    <mergeCell ref="B14:E14"/>
    <mergeCell ref="B21:C21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計算欄</vt:lpstr>
      <vt:lpstr>Sheet1</vt:lpstr>
      <vt:lpstr>入力欄</vt:lpstr>
      <vt:lpstr>計算欄!Print_Area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2021-06-20T05:13:49Z</dcterms:modified>
</cp:coreProperties>
</file>